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2780" activeTab="0"/>
  </bookViews>
  <sheets>
    <sheet name="Foglio1" sheetId="1" r:id="rId1"/>
    <sheet name="anno n" sheetId="2" r:id="rId2"/>
    <sheet name="anno n+1" sheetId="3" r:id="rId3"/>
    <sheet name="anno n+2" sheetId="4" r:id="rId4"/>
    <sheet name="anno n+3" sheetId="5" r:id="rId5"/>
    <sheet name="anno n+4" sheetId="6" r:id="rId6"/>
    <sheet name="anno n+5" sheetId="7" r:id="rId7"/>
  </sheets>
  <externalReferences>
    <externalReference r:id="rId10"/>
  </externalReferences>
  <definedNames>
    <definedName name="aliInps">'Foglio1'!$E$44</definedName>
    <definedName name="autimpe">'anno n'!$M$36</definedName>
    <definedName name="detrauto">'anno n'!$M$30:$N$34</definedName>
    <definedName name="detraz">'anno n'!$M$12:$N$17</definedName>
    <definedName name="detrpensio">'anno n'!$M$19:$N$24</definedName>
    <definedName name="dipe">'anno n'!$C$5</definedName>
    <definedName name="nummag">'anno n'!$F$23</definedName>
    <definedName name="pensio">'anno n'!$C$6</definedName>
    <definedName name="rapcon">'anno n'!$F$9</definedName>
    <definedName name="rapfam">'anno n'!$F$24</definedName>
  </definedNames>
  <calcPr fullCalcOnLoad="1"/>
</workbook>
</file>

<file path=xl/sharedStrings.xml><?xml version="1.0" encoding="utf-8"?>
<sst xmlns="http://schemas.openxmlformats.org/spreadsheetml/2006/main" count="498" uniqueCount="108">
  <si>
    <t>Si noti che, ipotizzando entrate e uscite costanti negli anni, il primo anno non si paga nulla,</t>
  </si>
  <si>
    <t>il secondo si paga tutto il saldo dovuto per l'anno precedente e gli acconti per il secondo,</t>
  </si>
  <si>
    <t>dal terzo il prelievo fiscale/contributivo si stabilizza.</t>
  </si>
  <si>
    <t>Foglio di calcolo per determinare le imposte e i contributi dovuti da un lavoratore autonomo</t>
  </si>
  <si>
    <t>Da questa simulazione si può anche determinare quanto sia consigliabile accantonare</t>
  </si>
  <si>
    <t>nei vari anni, soprattutto il primo, per non avere brutte sorprese.</t>
  </si>
  <si>
    <t>compenso mensile previsto:</t>
  </si>
  <si>
    <t>importo fiscalmente deducibile:</t>
  </si>
  <si>
    <t>Indicare negli appositi campi (con bordi) le ipotesi di incassi e di spese.</t>
  </si>
  <si>
    <t>Sviluppo:</t>
  </si>
  <si>
    <t>anno n + 1</t>
  </si>
  <si>
    <t>anno n + 2</t>
  </si>
  <si>
    <t>anno n + 3</t>
  </si>
  <si>
    <t>anno n + 4</t>
  </si>
  <si>
    <t>anno n + 5</t>
  </si>
  <si>
    <t>compensi annui:</t>
  </si>
  <si>
    <t>ritenute d'acconto subite:</t>
  </si>
  <si>
    <t>spese deducibili:</t>
  </si>
  <si>
    <t>totali</t>
  </si>
  <si>
    <t xml:space="preserve">contributi Inps pagati nell'anno: </t>
  </si>
  <si>
    <t>saldo dell'anno in colonna:</t>
  </si>
  <si>
    <t>Inps gestione separata</t>
  </si>
  <si>
    <t>primo acconto Inps gestione separata</t>
  </si>
  <si>
    <t>secondo acconto Inps gestione separata</t>
  </si>
  <si>
    <t>Importi da versare:</t>
  </si>
  <si>
    <t>crediti:</t>
  </si>
  <si>
    <t>a novembre dell'anno in colonna (rata unica):</t>
  </si>
  <si>
    <t>a giugno dell'anno in colonna (anche a rate)</t>
  </si>
  <si>
    <t>saldo di giugno a debito :</t>
  </si>
  <si>
    <t>nulla</t>
  </si>
  <si>
    <t>totale versamenti nell'anno in colonna:</t>
  </si>
  <si>
    <t>anno n</t>
  </si>
  <si>
    <t>Un altro consiglio che si può dare è quello di documentare attentamente le spese, in modo da sostenere un minor carico fiscale/contributivo.</t>
  </si>
  <si>
    <t>by Luca Simonini</t>
  </si>
  <si>
    <t>www.simonini.biz</t>
  </si>
  <si>
    <t>aliquota attuale (2010)</t>
  </si>
  <si>
    <t>con Irpef calcolata nei modi ordinari, per scaglioni ad aliquota progressiva.</t>
  </si>
  <si>
    <t>Categoria reddituale</t>
  </si>
  <si>
    <t>Oneri deducibili</t>
  </si>
  <si>
    <t>Terreni</t>
  </si>
  <si>
    <t>Scaglioni</t>
  </si>
  <si>
    <t>Aliq.</t>
  </si>
  <si>
    <t>max</t>
  </si>
  <si>
    <t>Fabbricati</t>
  </si>
  <si>
    <t>Reddito imponibile</t>
  </si>
  <si>
    <t>Lavoro dipendente</t>
  </si>
  <si>
    <t>IRPEF 2005-2006</t>
  </si>
  <si>
    <t>pensione</t>
  </si>
  <si>
    <t>IRPEF lorda</t>
  </si>
  <si>
    <t>Lavoro autonomo</t>
  </si>
  <si>
    <t>Differenza</t>
  </si>
  <si>
    <t>professionale</t>
  </si>
  <si>
    <t>Coniuge</t>
  </si>
  <si>
    <t>Di capitale</t>
  </si>
  <si>
    <t>rapporto</t>
  </si>
  <si>
    <t>dividendi</t>
  </si>
  <si>
    <t>Detrazione spettante</t>
  </si>
  <si>
    <t>IRPEF 2003-2004</t>
  </si>
  <si>
    <t>D'impresa</t>
  </si>
  <si>
    <t>semplificata</t>
  </si>
  <si>
    <t>Figli</t>
  </si>
  <si>
    <t>detraz lav dip</t>
  </si>
  <si>
    <t>Diversi</t>
  </si>
  <si>
    <t>Deduzione spettante</t>
  </si>
  <si>
    <t>min</t>
  </si>
  <si>
    <t>Credito impos.divi.</t>
  </si>
  <si>
    <t>Figli inferiori a 3 anni</t>
  </si>
  <si>
    <t>Irpef 2002</t>
  </si>
  <si>
    <t>Reddito complessivo</t>
  </si>
  <si>
    <t>Figli con handicap</t>
  </si>
  <si>
    <t>Giorni lav.dip./pens.</t>
  </si>
  <si>
    <t>Figli con handicap &lt; 3 an.</t>
  </si>
  <si>
    <t>detraz pens</t>
  </si>
  <si>
    <t>Coniuge a carico (S o N)</t>
  </si>
  <si>
    <t>altri familiari</t>
  </si>
  <si>
    <t>mesi</t>
  </si>
  <si>
    <t>Num. figli a carico</t>
  </si>
  <si>
    <t>numero figli</t>
  </si>
  <si>
    <t>"numero magico"</t>
  </si>
  <si>
    <t>percentuale</t>
  </si>
  <si>
    <t>Numero figli inf. a 3 anni</t>
  </si>
  <si>
    <t>detrazioni per familiari</t>
  </si>
  <si>
    <t>Detraz.lav.dip./pens.</t>
  </si>
  <si>
    <t>Numero figli con handicap</t>
  </si>
  <si>
    <t>detraz. Lav.aut./impr./div.</t>
  </si>
  <si>
    <t>IRPEF NETTA</t>
  </si>
  <si>
    <t>detraz aut/imp/div</t>
  </si>
  <si>
    <t>Num. figli hand. &lt; 3 anni</t>
  </si>
  <si>
    <t>Altri familiari a carico</t>
  </si>
  <si>
    <t>Imposta Irpef dovuta (aliquote 2010-2011) :</t>
  </si>
  <si>
    <t>Saldo a debito  (-)  o a credito:</t>
  </si>
  <si>
    <t>altre spese auto (40%) :</t>
  </si>
  <si>
    <t>schede carburanti  (40%):</t>
  </si>
  <si>
    <t>spese telefoniche  (80%):</t>
  </si>
  <si>
    <t>altre spese a deducibilità parziale (50%) :</t>
  </si>
  <si>
    <t>altre spese a deducibilità piena :</t>
  </si>
  <si>
    <t>debiti totali (a giugno):</t>
  </si>
  <si>
    <t>Le aliquote Irpef si riferiscono a quelle in vigore negli anni 2010-2011</t>
  </si>
  <si>
    <t>Per personalizzare ulteriormente lo sviluppo è possibile indicare i familiari a carico:</t>
  </si>
  <si>
    <t>N</t>
  </si>
  <si>
    <t>S</t>
  </si>
  <si>
    <t>I versamenti IVA non vengono presi in considerazione, si verserà l'IVA incassata al netto di quella pagata sugli acquisti fatturati (per la parte detraibile).</t>
  </si>
  <si>
    <t xml:space="preserve">compenso annuo </t>
  </si>
  <si>
    <t>selezionare le mensilità per il primo anno :</t>
  </si>
  <si>
    <t>selezionare le mensilità previste (11, 12, …) :</t>
  </si>
  <si>
    <t xml:space="preserve">reddito professionale : </t>
  </si>
  <si>
    <t>Imponibile Irpef :</t>
  </si>
  <si>
    <t>imponibile Inps :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</si>
</sst>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[$€-2]\ * #,##0.00_-;\-[$€-2]\ * #,##0.00_-;_-[$€-2]\ * &quot;-&quot;??_-;_-@_-"/>
    <numFmt numFmtId="166" formatCode="#,##0.0000_ ;\-#,##0.0000\ "/>
    <numFmt numFmtId="167" formatCode="#,##0_ ;\-#,##0\ "/>
    <numFmt numFmtId="168" formatCode="_-[$€-2]\ * #,##0.00_-;\-[$€-2]\ * #,##0.00_-;_-[$€-2]\ * &quot;-&quot;??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6"/>
      <name val="Comic Sans MS"/>
      <family val="4"/>
    </font>
    <font>
      <b/>
      <sz val="11"/>
      <color indexed="10"/>
      <name val="Calibri"/>
      <family val="2"/>
    </font>
    <font>
      <i/>
      <sz val="12"/>
      <color indexed="8"/>
      <name val="Antique Olive"/>
      <family val="2"/>
    </font>
    <font>
      <u val="single"/>
      <sz val="11"/>
      <color indexed="12"/>
      <name val="Antique Olive"/>
      <family val="2"/>
    </font>
    <font>
      <sz val="11"/>
      <color indexed="56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3"/>
      <name val="Comic Sans MS"/>
      <family val="4"/>
    </font>
    <font>
      <b/>
      <sz val="11"/>
      <color rgb="FFFF0000"/>
      <name val="Calibri"/>
      <family val="2"/>
    </font>
    <font>
      <i/>
      <sz val="12"/>
      <color theme="1"/>
      <name val="Antique Olive"/>
      <family val="2"/>
    </font>
    <font>
      <u val="single"/>
      <sz val="11"/>
      <color theme="10"/>
      <name val="Antique Olive"/>
      <family val="2"/>
    </font>
    <font>
      <sz val="11"/>
      <color theme="3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8" fontId="5" fillId="0" borderId="0" applyNumberFormat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44" fontId="45" fillId="0" borderId="0" xfId="61" applyFont="1" applyAlignment="1" applyProtection="1">
      <alignment/>
      <protection hidden="1"/>
    </xf>
    <xf numFmtId="44" fontId="0" fillId="0" borderId="0" xfId="61" applyFont="1" applyAlignment="1" applyProtection="1">
      <alignment/>
      <protection hidden="1"/>
    </xf>
    <xf numFmtId="44" fontId="0" fillId="0" borderId="0" xfId="61" applyFont="1" applyAlignment="1" applyProtection="1">
      <alignment horizontal="right"/>
      <protection hidden="1"/>
    </xf>
    <xf numFmtId="44" fontId="0" fillId="0" borderId="10" xfId="61" applyFont="1" applyBorder="1" applyAlignment="1" applyProtection="1">
      <alignment/>
      <protection hidden="1"/>
    </xf>
    <xf numFmtId="44" fontId="0" fillId="0" borderId="0" xfId="61" applyFont="1" applyBorder="1" applyAlignment="1" applyProtection="1">
      <alignment/>
      <protection hidden="1"/>
    </xf>
    <xf numFmtId="44" fontId="0" fillId="0" borderId="0" xfId="61" applyFont="1" applyAlignment="1" applyProtection="1">
      <alignment/>
      <protection hidden="1"/>
    </xf>
    <xf numFmtId="44" fontId="0" fillId="0" borderId="0" xfId="61" applyFont="1" applyAlignment="1" applyProtection="1">
      <alignment horizontal="right"/>
      <protection hidden="1"/>
    </xf>
    <xf numFmtId="44" fontId="0" fillId="0" borderId="11" xfId="61" applyFont="1" applyBorder="1" applyAlignment="1" applyProtection="1">
      <alignment/>
      <protection hidden="1"/>
    </xf>
    <xf numFmtId="10" fontId="0" fillId="0" borderId="0" xfId="50" applyNumberFormat="1" applyFont="1" applyAlignment="1" applyProtection="1">
      <alignment horizontal="center"/>
      <protection hidden="1"/>
    </xf>
    <xf numFmtId="44" fontId="46" fillId="0" borderId="0" xfId="61" applyFont="1" applyAlignment="1" applyProtection="1">
      <alignment horizontal="right"/>
      <protection hidden="1"/>
    </xf>
    <xf numFmtId="44" fontId="0" fillId="0" borderId="0" xfId="61" applyFont="1" applyAlignment="1" applyProtection="1">
      <alignment horizontal="center"/>
      <protection hidden="1"/>
    </xf>
    <xf numFmtId="44" fontId="42" fillId="0" borderId="0" xfId="61" applyFont="1" applyAlignment="1" applyProtection="1">
      <alignment horizontal="right"/>
      <protection hidden="1"/>
    </xf>
    <xf numFmtId="44" fontId="42" fillId="0" borderId="0" xfId="61" applyFont="1" applyAlignment="1" applyProtection="1">
      <alignment/>
      <protection hidden="1"/>
    </xf>
    <xf numFmtId="44" fontId="0" fillId="0" borderId="12" xfId="61" applyFont="1" applyBorder="1" applyAlignment="1" applyProtection="1">
      <alignment/>
      <protection locked="0"/>
    </xf>
    <xf numFmtId="44" fontId="47" fillId="0" borderId="0" xfId="61" applyFont="1" applyAlignment="1" applyProtection="1">
      <alignment/>
      <protection hidden="1"/>
    </xf>
    <xf numFmtId="44" fontId="48" fillId="0" borderId="0" xfId="36" applyNumberFormat="1" applyFont="1" applyAlignment="1" applyProtection="1">
      <alignment/>
      <protection hidden="1"/>
    </xf>
    <xf numFmtId="165" fontId="2" fillId="0" borderId="0" xfId="0" applyNumberFormat="1" applyFont="1" applyAlignment="1" applyProtection="1">
      <alignment/>
      <protection hidden="1"/>
    </xf>
    <xf numFmtId="165" fontId="3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4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/>
      <protection hidden="1"/>
    </xf>
    <xf numFmtId="165" fontId="0" fillId="0" borderId="0" xfId="0" applyNumberFormat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hidden="1"/>
    </xf>
    <xf numFmtId="9" fontId="0" fillId="0" borderId="0" xfId="50" applyFont="1" applyAlignment="1" applyProtection="1">
      <alignment/>
      <protection hidden="1"/>
    </xf>
    <xf numFmtId="165" fontId="0" fillId="0" borderId="0" xfId="0" applyNumberFormat="1" applyAlignment="1" applyProtection="1">
      <alignment horizontal="right"/>
      <protection hidden="1"/>
    </xf>
    <xf numFmtId="165" fontId="5" fillId="0" borderId="0" xfId="0" applyNumberFormat="1" applyFont="1" applyAlignment="1" applyProtection="1">
      <alignment/>
      <protection hidden="1"/>
    </xf>
    <xf numFmtId="165" fontId="0" fillId="0" borderId="11" xfId="0" applyNumberFormat="1" applyBorder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7" fontId="0" fillId="0" borderId="0" xfId="0" applyNumberFormat="1" applyAlignment="1" applyProtection="1">
      <alignment/>
      <protection locked="0"/>
    </xf>
    <xf numFmtId="167" fontId="5" fillId="0" borderId="0" xfId="0" applyNumberFormat="1" applyFont="1" applyAlignment="1" applyProtection="1">
      <alignment horizontal="center"/>
      <protection locked="0"/>
    </xf>
    <xf numFmtId="165" fontId="0" fillId="0" borderId="0" xfId="43" applyNumberFormat="1" applyFont="1" applyBorder="1" applyAlignment="1" applyProtection="1">
      <alignment wrapText="1"/>
      <protection hidden="1"/>
    </xf>
    <xf numFmtId="167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 applyProtection="1">
      <alignment/>
      <protection hidden="1"/>
    </xf>
    <xf numFmtId="9" fontId="0" fillId="0" borderId="0" xfId="50" applyFont="1" applyAlignment="1" applyProtection="1">
      <alignment horizontal="center"/>
      <protection locked="0"/>
    </xf>
    <xf numFmtId="165" fontId="3" fillId="0" borderId="0" xfId="43" applyNumberFormat="1" applyFont="1" applyAlignment="1" applyProtection="1">
      <alignment/>
      <protection hidden="1"/>
    </xf>
    <xf numFmtId="1" fontId="0" fillId="0" borderId="0" xfId="50" applyNumberFormat="1" applyFont="1" applyAlignment="1" applyProtection="1">
      <alignment horizontal="center"/>
      <protection locked="0"/>
    </xf>
    <xf numFmtId="44" fontId="49" fillId="0" borderId="0" xfId="61" applyFont="1" applyAlignment="1" applyProtection="1">
      <alignment/>
      <protection hidden="1"/>
    </xf>
    <xf numFmtId="167" fontId="5" fillId="0" borderId="0" xfId="0" applyNumberFormat="1" applyFont="1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center"/>
      <protection hidden="1"/>
    </xf>
    <xf numFmtId="9" fontId="0" fillId="0" borderId="0" xfId="50" applyFont="1" applyAlignment="1" applyProtection="1">
      <alignment horizontal="center"/>
      <protection hidden="1"/>
    </xf>
    <xf numFmtId="167" fontId="0" fillId="0" borderId="0" xfId="61" applyNumberFormat="1" applyFont="1" applyAlignment="1" applyProtection="1">
      <alignment horizontal="center"/>
      <protection hidden="1"/>
    </xf>
    <xf numFmtId="9" fontId="0" fillId="0" borderId="0" xfId="50" applyFont="1" applyAlignment="1" applyProtection="1">
      <alignment/>
      <protection hidden="1"/>
    </xf>
    <xf numFmtId="167" fontId="0" fillId="0" borderId="0" xfId="61" applyNumberFormat="1" applyFont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udio\Irpef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rpef 2007-08-09-2010"/>
      <sheetName val="Irpef 2005-06"/>
      <sheetName val="Irpef 2003-04"/>
      <sheetName val="Norme al 31-12-2002"/>
    </sheetNames>
    <sheetDataSet>
      <sheetData sheetId="1">
        <row r="3">
          <cell r="I3">
            <v>2523</v>
          </cell>
        </row>
        <row r="8">
          <cell r="I8">
            <v>2523</v>
          </cell>
        </row>
        <row r="13">
          <cell r="I13">
            <v>2652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onini.bi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onini.biz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onini.biz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onini.biz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onini.biz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onini.biz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onini.bi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8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11.421875" style="2" customWidth="1"/>
    <col min="2" max="4" width="9.140625" style="2" customWidth="1"/>
    <col min="5" max="5" width="9.140625" style="3" customWidth="1"/>
    <col min="6" max="9" width="12.00390625" style="2" bestFit="1" customWidth="1"/>
    <col min="10" max="10" width="11.7109375" style="2" customWidth="1"/>
    <col min="11" max="11" width="12.00390625" style="2" bestFit="1" customWidth="1"/>
    <col min="12" max="12" width="9.140625" style="2" customWidth="1"/>
    <col min="13" max="13" width="23.421875" style="2" bestFit="1" customWidth="1"/>
    <col min="14" max="16" width="9.140625" style="2" customWidth="1"/>
    <col min="17" max="17" width="9.140625" style="2" hidden="1" customWidth="1"/>
    <col min="18" max="18" width="9.140625" style="41" hidden="1" customWidth="1"/>
    <col min="19" max="19" width="9.140625" style="2" hidden="1" customWidth="1"/>
    <col min="20" max="16384" width="9.140625" style="2" customWidth="1"/>
  </cols>
  <sheetData>
    <row r="2" spans="2:11" ht="16.5">
      <c r="B2" s="1" t="s">
        <v>3</v>
      </c>
      <c r="K2" s="15" t="s">
        <v>33</v>
      </c>
    </row>
    <row r="3" spans="2:11" ht="15.75">
      <c r="B3" s="1" t="s">
        <v>36</v>
      </c>
      <c r="K3" s="16" t="s">
        <v>34</v>
      </c>
    </row>
    <row r="4" ht="15.75">
      <c r="B4" s="1"/>
    </row>
    <row r="5" spans="2:10" ht="16.5">
      <c r="B5" s="1" t="s">
        <v>8</v>
      </c>
      <c r="J5" s="37" t="s">
        <v>97</v>
      </c>
    </row>
    <row r="6" ht="15.75">
      <c r="B6" s="1"/>
    </row>
    <row r="7" spans="2:10" ht="16.5">
      <c r="B7" s="1" t="s">
        <v>0</v>
      </c>
      <c r="J7" s="37" t="s">
        <v>101</v>
      </c>
    </row>
    <row r="8" ht="15.75">
      <c r="B8" s="1" t="s">
        <v>1</v>
      </c>
    </row>
    <row r="9" ht="15.75">
      <c r="B9" s="1" t="s">
        <v>2</v>
      </c>
    </row>
    <row r="10" ht="15.75">
      <c r="B10" s="1" t="s">
        <v>4</v>
      </c>
    </row>
    <row r="11" ht="15.75">
      <c r="B11" s="1" t="s">
        <v>5</v>
      </c>
    </row>
    <row r="12" ht="15.75">
      <c r="B12" s="1" t="s">
        <v>32</v>
      </c>
    </row>
    <row r="14" ht="16.5">
      <c r="M14" s="37" t="s">
        <v>98</v>
      </c>
    </row>
    <row r="15" spans="5:18" ht="15">
      <c r="E15" s="3" t="s">
        <v>6</v>
      </c>
      <c r="F15" s="14">
        <v>2000</v>
      </c>
      <c r="R15" s="41">
        <v>0</v>
      </c>
    </row>
    <row r="16" spans="5:19" ht="15">
      <c r="E16" s="7" t="s">
        <v>102</v>
      </c>
      <c r="F16" s="6">
        <f>F15*F17</f>
        <v>24000</v>
      </c>
      <c r="M16" s="19" t="s">
        <v>73</v>
      </c>
      <c r="N16" s="30" t="s">
        <v>99</v>
      </c>
      <c r="Q16" s="6" t="s">
        <v>99</v>
      </c>
      <c r="R16" s="41">
        <v>1</v>
      </c>
      <c r="S16" s="42">
        <v>0</v>
      </c>
    </row>
    <row r="17" spans="5:19" ht="15">
      <c r="E17" s="7" t="s">
        <v>104</v>
      </c>
      <c r="F17" s="43">
        <v>12</v>
      </c>
      <c r="M17" s="19" t="s">
        <v>75</v>
      </c>
      <c r="N17" s="32">
        <v>0</v>
      </c>
      <c r="Q17" s="6" t="s">
        <v>100</v>
      </c>
      <c r="R17" s="41">
        <v>2</v>
      </c>
      <c r="S17" s="42">
        <v>0.5</v>
      </c>
    </row>
    <row r="18" spans="5:19" ht="15">
      <c r="E18" s="7" t="s">
        <v>103</v>
      </c>
      <c r="F18" s="43">
        <v>9</v>
      </c>
      <c r="M18" s="19" t="s">
        <v>76</v>
      </c>
      <c r="N18" s="30">
        <v>0</v>
      </c>
      <c r="R18" s="41">
        <v>3</v>
      </c>
      <c r="S18" s="42">
        <v>1</v>
      </c>
    </row>
    <row r="19" spans="13:18" ht="15">
      <c r="M19" s="19" t="s">
        <v>75</v>
      </c>
      <c r="N19" s="32">
        <v>0</v>
      </c>
      <c r="R19" s="41">
        <v>4</v>
      </c>
    </row>
    <row r="20" spans="7:18" ht="15">
      <c r="G20" s="2" t="s">
        <v>7</v>
      </c>
      <c r="M20" s="19" t="s">
        <v>79</v>
      </c>
      <c r="N20" s="34">
        <v>0</v>
      </c>
      <c r="R20" s="41">
        <v>5</v>
      </c>
    </row>
    <row r="21" spans="5:18" ht="15">
      <c r="E21" s="7" t="s">
        <v>93</v>
      </c>
      <c r="F21" s="14">
        <v>1200</v>
      </c>
      <c r="G21" s="2">
        <f>F21*0.8</f>
        <v>960</v>
      </c>
      <c r="R21" s="41">
        <v>6</v>
      </c>
    </row>
    <row r="22" spans="5:18" ht="15">
      <c r="E22" s="7" t="s">
        <v>92</v>
      </c>
      <c r="F22" s="14">
        <v>1800</v>
      </c>
      <c r="G22" s="2">
        <f>F22*0.4</f>
        <v>720</v>
      </c>
      <c r="R22" s="41">
        <v>7</v>
      </c>
    </row>
    <row r="23" spans="5:18" ht="15">
      <c r="E23" s="7" t="s">
        <v>91</v>
      </c>
      <c r="F23" s="14">
        <v>500</v>
      </c>
      <c r="G23" s="2">
        <f>F23*0.4</f>
        <v>200</v>
      </c>
      <c r="R23" s="41">
        <v>8</v>
      </c>
    </row>
    <row r="24" spans="5:18" ht="15">
      <c r="E24" s="7" t="s">
        <v>95</v>
      </c>
      <c r="F24" s="14">
        <v>1050</v>
      </c>
      <c r="G24" s="2">
        <f>F24</f>
        <v>1050</v>
      </c>
      <c r="R24" s="41">
        <v>9</v>
      </c>
    </row>
    <row r="25" spans="5:18" ht="15">
      <c r="E25" s="7" t="s">
        <v>94</v>
      </c>
      <c r="F25" s="14">
        <v>600</v>
      </c>
      <c r="G25" s="4">
        <f>F25/2</f>
        <v>300</v>
      </c>
      <c r="R25" s="41">
        <v>10</v>
      </c>
    </row>
    <row r="26" spans="6:18" ht="15">
      <c r="F26" s="5">
        <f>SUM(F21:F25)</f>
        <v>5150</v>
      </c>
      <c r="G26" s="5">
        <f>SUM(G21:G25)</f>
        <v>3230</v>
      </c>
      <c r="H26" s="2" t="s">
        <v>18</v>
      </c>
      <c r="R26" s="41">
        <v>11</v>
      </c>
    </row>
    <row r="27" spans="1:18" s="6" customFormat="1" ht="15">
      <c r="A27" s="2"/>
      <c r="B27" s="2"/>
      <c r="C27" s="2"/>
      <c r="D27" s="2"/>
      <c r="E27" s="3"/>
      <c r="F27" s="2"/>
      <c r="G27" s="2"/>
      <c r="H27" s="2"/>
      <c r="I27" s="2"/>
      <c r="J27" s="2"/>
      <c r="K27" s="2"/>
      <c r="R27" s="41">
        <v>12</v>
      </c>
    </row>
    <row r="28" ht="15">
      <c r="E28" s="3" t="s">
        <v>9</v>
      </c>
    </row>
    <row r="30" spans="1:11" ht="15">
      <c r="A30" s="6"/>
      <c r="B30" s="6"/>
      <c r="C30" s="6"/>
      <c r="D30" s="6"/>
      <c r="E30" s="6"/>
      <c r="F30" s="7" t="s">
        <v>31</v>
      </c>
      <c r="G30" s="7" t="s">
        <v>10</v>
      </c>
      <c r="H30" s="7" t="s">
        <v>11</v>
      </c>
      <c r="I30" s="7" t="s">
        <v>12</v>
      </c>
      <c r="J30" s="7" t="s">
        <v>13</v>
      </c>
      <c r="K30" s="7" t="s">
        <v>14</v>
      </c>
    </row>
    <row r="32" spans="5:11" ht="15">
      <c r="E32" s="3" t="s">
        <v>15</v>
      </c>
      <c r="F32" s="2">
        <f>F15*F18</f>
        <v>18000</v>
      </c>
      <c r="G32" s="2">
        <f>F16</f>
        <v>24000</v>
      </c>
      <c r="H32" s="2">
        <f aca="true" t="shared" si="0" ref="G32:K33">G32</f>
        <v>24000</v>
      </c>
      <c r="I32" s="2">
        <f t="shared" si="0"/>
        <v>24000</v>
      </c>
      <c r="J32" s="2">
        <f t="shared" si="0"/>
        <v>24000</v>
      </c>
      <c r="K32" s="2">
        <f t="shared" si="0"/>
        <v>24000</v>
      </c>
    </row>
    <row r="33" spans="5:11" ht="15">
      <c r="E33" s="3" t="s">
        <v>17</v>
      </c>
      <c r="F33" s="2">
        <f>G26</f>
        <v>3230</v>
      </c>
      <c r="G33" s="2">
        <f t="shared" si="0"/>
        <v>3230</v>
      </c>
      <c r="H33" s="2">
        <f t="shared" si="0"/>
        <v>3230</v>
      </c>
      <c r="I33" s="2">
        <f t="shared" si="0"/>
        <v>3230</v>
      </c>
      <c r="J33" s="2">
        <f t="shared" si="0"/>
        <v>3230</v>
      </c>
      <c r="K33" s="2">
        <f t="shared" si="0"/>
        <v>3230</v>
      </c>
    </row>
    <row r="34" spans="5:11" ht="15">
      <c r="E34" s="3" t="s">
        <v>19</v>
      </c>
      <c r="F34" s="8"/>
      <c r="G34" s="8">
        <f>ROUND(F45+F46+F47,0)</f>
        <v>7104</v>
      </c>
      <c r="H34" s="8">
        <f>ROUND(G45+G46+G47,0)</f>
        <v>6833</v>
      </c>
      <c r="I34" s="8">
        <f>ROUND(H45+H46+H47,0)</f>
        <v>5550</v>
      </c>
      <c r="J34" s="8">
        <f>ROUND(I45+I46+I47,0)</f>
        <v>5550</v>
      </c>
      <c r="K34" s="8">
        <f>ROUND(J45+J46+J47,0)</f>
        <v>5550</v>
      </c>
    </row>
    <row r="35" spans="5:11" ht="15">
      <c r="E35" s="7" t="s">
        <v>105</v>
      </c>
      <c r="F35" s="2">
        <f aca="true" t="shared" si="1" ref="F35:K35">F32-F33</f>
        <v>14770</v>
      </c>
      <c r="G35" s="6">
        <f t="shared" si="1"/>
        <v>20770</v>
      </c>
      <c r="H35" s="6">
        <f t="shared" si="1"/>
        <v>20770</v>
      </c>
      <c r="I35" s="6">
        <f t="shared" si="1"/>
        <v>20770</v>
      </c>
      <c r="J35" s="6">
        <f t="shared" si="1"/>
        <v>20770</v>
      </c>
      <c r="K35" s="6">
        <f t="shared" si="1"/>
        <v>20770</v>
      </c>
    </row>
    <row r="36" spans="5:11" ht="15">
      <c r="E36" s="7" t="s">
        <v>107</v>
      </c>
      <c r="F36" s="2">
        <f aca="true" t="shared" si="2" ref="F36:K36">F32-F33</f>
        <v>14770</v>
      </c>
      <c r="G36" s="2">
        <f t="shared" si="2"/>
        <v>20770</v>
      </c>
      <c r="H36" s="2">
        <f t="shared" si="2"/>
        <v>20770</v>
      </c>
      <c r="I36" s="2">
        <f t="shared" si="2"/>
        <v>20770</v>
      </c>
      <c r="J36" s="2">
        <f t="shared" si="2"/>
        <v>20770</v>
      </c>
      <c r="K36" s="2">
        <f t="shared" si="2"/>
        <v>20770</v>
      </c>
    </row>
    <row r="37" spans="5:18" s="6" customFormat="1" ht="15">
      <c r="E37" s="7" t="s">
        <v>106</v>
      </c>
      <c r="F37" s="6">
        <f>'anno n'!F4</f>
        <v>14770</v>
      </c>
      <c r="G37" s="6">
        <f>'anno n+1'!F4</f>
        <v>13666</v>
      </c>
      <c r="H37" s="6">
        <f>'anno n+2'!F4</f>
        <v>13937</v>
      </c>
      <c r="I37" s="6">
        <f>'anno n+3'!F4</f>
        <v>15220</v>
      </c>
      <c r="J37" s="6">
        <f>'anno n+4'!F4</f>
        <v>15220</v>
      </c>
      <c r="K37" s="6">
        <f>'anno n+5'!F4</f>
        <v>15220</v>
      </c>
      <c r="R37" s="41"/>
    </row>
    <row r="39" spans="5:11" ht="15">
      <c r="E39" s="7" t="s">
        <v>89</v>
      </c>
      <c r="F39" s="2">
        <f>'anno n'!F30</f>
        <v>2512</v>
      </c>
      <c r="G39" s="2">
        <f>'anno n+1'!F30</f>
        <v>2258</v>
      </c>
      <c r="H39" s="2">
        <f>'anno n+2'!F30</f>
        <v>2321</v>
      </c>
      <c r="I39" s="6">
        <f>'anno n+3'!F30</f>
        <v>2624</v>
      </c>
      <c r="J39" s="6">
        <f>'anno n+4'!F30</f>
        <v>2624</v>
      </c>
      <c r="K39" s="6">
        <f>'anno n+5'!F30</f>
        <v>2624</v>
      </c>
    </row>
    <row r="40" spans="5:11" ht="15">
      <c r="E40" s="3" t="s">
        <v>16</v>
      </c>
      <c r="F40" s="2">
        <f aca="true" t="shared" si="3" ref="F40:K40">F32*0.2</f>
        <v>3600</v>
      </c>
      <c r="G40" s="2">
        <f t="shared" si="3"/>
        <v>4800</v>
      </c>
      <c r="H40" s="2">
        <f t="shared" si="3"/>
        <v>4800</v>
      </c>
      <c r="I40" s="2">
        <f t="shared" si="3"/>
        <v>4800</v>
      </c>
      <c r="J40" s="2">
        <f t="shared" si="3"/>
        <v>4800</v>
      </c>
      <c r="K40" s="2">
        <f t="shared" si="3"/>
        <v>4800</v>
      </c>
    </row>
    <row r="41" spans="5:11" ht="15">
      <c r="E41" s="7" t="s">
        <v>90</v>
      </c>
      <c r="F41" s="2">
        <f aca="true" t="shared" si="4" ref="F41:K41">F40-F39</f>
        <v>1088</v>
      </c>
      <c r="G41" s="2">
        <f t="shared" si="4"/>
        <v>2542</v>
      </c>
      <c r="H41" s="2">
        <f t="shared" si="4"/>
        <v>2479</v>
      </c>
      <c r="I41" s="2">
        <f t="shared" si="4"/>
        <v>2176</v>
      </c>
      <c r="J41" s="2">
        <f t="shared" si="4"/>
        <v>2176</v>
      </c>
      <c r="K41" s="2">
        <f t="shared" si="4"/>
        <v>2176</v>
      </c>
    </row>
    <row r="43" ht="15">
      <c r="E43" s="3" t="s">
        <v>21</v>
      </c>
    </row>
    <row r="44" spans="4:5" ht="15">
      <c r="D44" s="7" t="s">
        <v>35</v>
      </c>
      <c r="E44" s="9">
        <v>0.2672</v>
      </c>
    </row>
    <row r="45" spans="5:11" ht="15">
      <c r="E45" s="3" t="s">
        <v>20</v>
      </c>
      <c r="F45" s="2">
        <f>ROUND(F36*aliInps,0)</f>
        <v>3947</v>
      </c>
      <c r="G45" s="2">
        <f>ROUND(G36*aliInps-(F46+F47),0)</f>
        <v>2393</v>
      </c>
      <c r="H45" s="2">
        <f>ROUND(H36*aliInps-(G46+G47),0)</f>
        <v>1110</v>
      </c>
      <c r="I45" s="2">
        <f>ROUND(I36*aliInps-(H46+H47),0)</f>
        <v>1110</v>
      </c>
      <c r="J45" s="2">
        <f>ROUND(J36*aliInps-(I46+I47),0)</f>
        <v>1110</v>
      </c>
      <c r="K45" s="2">
        <f>ROUND(K36*aliInps-(J46+J47),0)</f>
        <v>1110</v>
      </c>
    </row>
    <row r="46" spans="5:11" ht="15">
      <c r="E46" s="3" t="s">
        <v>22</v>
      </c>
      <c r="F46" s="2">
        <f aca="true" t="shared" si="5" ref="F46:K46">F36*aliInps*0.8/2</f>
        <v>1578.6176</v>
      </c>
      <c r="G46" s="2">
        <f t="shared" si="5"/>
        <v>2219.8976</v>
      </c>
      <c r="H46" s="2">
        <f t="shared" si="5"/>
        <v>2219.8976</v>
      </c>
      <c r="I46" s="2">
        <f t="shared" si="5"/>
        <v>2219.8976</v>
      </c>
      <c r="J46" s="2">
        <f t="shared" si="5"/>
        <v>2219.8976</v>
      </c>
      <c r="K46" s="2">
        <f t="shared" si="5"/>
        <v>2219.8976</v>
      </c>
    </row>
    <row r="47" spans="5:11" ht="15">
      <c r="E47" s="3" t="s">
        <v>23</v>
      </c>
      <c r="F47" s="2">
        <f aca="true" t="shared" si="6" ref="F47:K47">F46</f>
        <v>1578.6176</v>
      </c>
      <c r="G47" s="2">
        <f t="shared" si="6"/>
        <v>2219.8976</v>
      </c>
      <c r="H47" s="2">
        <f t="shared" si="6"/>
        <v>2219.8976</v>
      </c>
      <c r="I47" s="2">
        <f t="shared" si="6"/>
        <v>2219.8976</v>
      </c>
      <c r="J47" s="2">
        <f t="shared" si="6"/>
        <v>2219.8976</v>
      </c>
      <c r="K47" s="2">
        <f t="shared" si="6"/>
        <v>2219.8976</v>
      </c>
    </row>
    <row r="49" ht="15">
      <c r="E49" s="10" t="s">
        <v>24</v>
      </c>
    </row>
    <row r="51" spans="5:6" ht="15">
      <c r="E51" s="3" t="s">
        <v>27</v>
      </c>
      <c r="F51" s="11"/>
    </row>
    <row r="52" spans="5:11" ht="15">
      <c r="E52" s="7" t="s">
        <v>96</v>
      </c>
      <c r="F52" s="11" t="s">
        <v>29</v>
      </c>
      <c r="G52" s="2">
        <f>F45+F46+F39</f>
        <v>8037.6176</v>
      </c>
      <c r="H52" s="2">
        <f>G45+G46+G39</f>
        <v>6870.8976</v>
      </c>
      <c r="I52" s="2">
        <f>H45+H46+H39</f>
        <v>5650.8976</v>
      </c>
      <c r="J52" s="2">
        <f>I45+I46+I39</f>
        <v>5953.8976</v>
      </c>
      <c r="K52" s="2">
        <f>J45+J46+J39</f>
        <v>5953.8976</v>
      </c>
    </row>
    <row r="53" spans="5:11" ht="15">
      <c r="E53" s="3" t="s">
        <v>25</v>
      </c>
      <c r="F53" s="11" t="s">
        <v>29</v>
      </c>
      <c r="G53" s="2">
        <f>F40</f>
        <v>3600</v>
      </c>
      <c r="H53" s="2">
        <f>G40</f>
        <v>4800</v>
      </c>
      <c r="I53" s="2">
        <f>H40</f>
        <v>4800</v>
      </c>
      <c r="J53" s="2">
        <f>I40</f>
        <v>4800</v>
      </c>
      <c r="K53" s="2">
        <f>J40</f>
        <v>4800</v>
      </c>
    </row>
    <row r="54" spans="5:11" ht="15">
      <c r="E54" s="12" t="s">
        <v>28</v>
      </c>
      <c r="F54" s="11" t="s">
        <v>29</v>
      </c>
      <c r="G54" s="13">
        <f>G52-G53</f>
        <v>4437.6176</v>
      </c>
      <c r="H54" s="13">
        <f>H52-H53</f>
        <v>2070.8976000000002</v>
      </c>
      <c r="I54" s="13">
        <f>I52-I53</f>
        <v>850.8976000000002</v>
      </c>
      <c r="J54" s="13">
        <f>J52-J53</f>
        <v>1153.8976000000002</v>
      </c>
      <c r="K54" s="13">
        <f>K52-K53</f>
        <v>1153.8976000000002</v>
      </c>
    </row>
    <row r="55" ht="15">
      <c r="F55" s="11"/>
    </row>
    <row r="56" spans="5:11" ht="15">
      <c r="E56" s="3" t="s">
        <v>26</v>
      </c>
      <c r="F56" s="11" t="s">
        <v>29</v>
      </c>
      <c r="G56" s="13">
        <f>F47</f>
        <v>1578.6176</v>
      </c>
      <c r="H56" s="13">
        <f>G47</f>
        <v>2219.8976</v>
      </c>
      <c r="I56" s="13">
        <f>H47</f>
        <v>2219.8976</v>
      </c>
      <c r="J56" s="13">
        <f>I47</f>
        <v>2219.8976</v>
      </c>
      <c r="K56" s="13">
        <f>J47</f>
        <v>2219.8976</v>
      </c>
    </row>
    <row r="58" spans="5:11" ht="15">
      <c r="E58" s="12" t="s">
        <v>30</v>
      </c>
      <c r="F58" s="11" t="s">
        <v>29</v>
      </c>
      <c r="G58" s="13">
        <f>G54+G56</f>
        <v>6016.235199999999</v>
      </c>
      <c r="H58" s="13">
        <f>H54+H56</f>
        <v>4290.7952000000005</v>
      </c>
      <c r="I58" s="13">
        <f>I54+I56</f>
        <v>3070.7952</v>
      </c>
      <c r="J58" s="13">
        <f>J54+J56</f>
        <v>3373.7952</v>
      </c>
      <c r="K58" s="13">
        <f>K54+K56</f>
        <v>3373.7952</v>
      </c>
    </row>
  </sheetData>
  <sheetProtection password="CC98" sheet="1" objects="1" scenarios="1"/>
  <dataValidations count="4">
    <dataValidation type="list" allowBlank="1" showInputMessage="1" showErrorMessage="1" sqref="N16">
      <formula1>$Q$16:$Q$17</formula1>
    </dataValidation>
    <dataValidation type="list" allowBlank="1" showInputMessage="1" showErrorMessage="1" sqref="N17:N19">
      <formula1>$R$15:$R$27</formula1>
    </dataValidation>
    <dataValidation type="list" allowBlank="1" showInputMessage="1" showErrorMessage="1" sqref="N20">
      <formula1>$S$16:$S$18</formula1>
    </dataValidation>
    <dataValidation type="list" allowBlank="1" showInputMessage="1" showErrorMessage="1" sqref="F17:F18">
      <formula1>$R$16:$R$27</formula1>
    </dataValidation>
  </dataValidations>
  <hyperlinks>
    <hyperlink ref="K3" r:id="rId1" display="www.simonini.biz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4.7109375" style="19" customWidth="1"/>
    <col min="2" max="2" width="23.8515625" style="19" bestFit="1" customWidth="1"/>
    <col min="3" max="3" width="12.8515625" style="19" bestFit="1" customWidth="1"/>
    <col min="4" max="4" width="4.421875" style="19" customWidth="1"/>
    <col min="5" max="5" width="24.00390625" style="19" bestFit="1" customWidth="1"/>
    <col min="6" max="6" width="12.8515625" style="19" bestFit="1" customWidth="1"/>
    <col min="7" max="7" width="3.8515625" style="19" hidden="1" customWidth="1"/>
    <col min="8" max="8" width="16.8515625" style="19" hidden="1" customWidth="1"/>
    <col min="9" max="9" width="11.8515625" style="19" hidden="1" customWidth="1"/>
    <col min="10" max="10" width="9.28125" style="19" hidden="1" customWidth="1"/>
    <col min="11" max="12" width="0" style="19" hidden="1" customWidth="1"/>
    <col min="13" max="13" width="21.421875" style="19" bestFit="1" customWidth="1"/>
    <col min="14" max="14" width="12.8515625" style="19" bestFit="1" customWidth="1"/>
    <col min="15" max="15" width="11.8515625" style="19" bestFit="1" customWidth="1"/>
    <col min="16" max="16384" width="9.140625" style="19" customWidth="1"/>
  </cols>
  <sheetData>
    <row r="1" spans="1:6" ht="16.5">
      <c r="A1" s="17" t="s">
        <v>37</v>
      </c>
      <c r="B1" s="18"/>
      <c r="E1" s="20"/>
      <c r="F1" s="21"/>
    </row>
    <row r="2" ht="15">
      <c r="E2" s="19" t="s">
        <v>38</v>
      </c>
    </row>
    <row r="3" spans="2:15" ht="15">
      <c r="B3" s="19" t="s">
        <v>39</v>
      </c>
      <c r="C3" s="19">
        <v>0</v>
      </c>
      <c r="M3" s="19" t="s">
        <v>40</v>
      </c>
      <c r="N3" s="19" t="s">
        <v>41</v>
      </c>
      <c r="O3" s="19" t="s">
        <v>42</v>
      </c>
    </row>
    <row r="4" spans="2:6" ht="15">
      <c r="B4" s="19" t="s">
        <v>43</v>
      </c>
      <c r="E4" s="19" t="s">
        <v>44</v>
      </c>
      <c r="F4" s="19">
        <f>C16-F2</f>
        <v>14770</v>
      </c>
    </row>
    <row r="5" spans="2:15" ht="15">
      <c r="B5" s="19" t="s">
        <v>45</v>
      </c>
      <c r="E5" s="21"/>
      <c r="F5" s="21"/>
      <c r="H5" s="23" t="s">
        <v>46</v>
      </c>
      <c r="I5" s="23">
        <f>'[1]Irpef 2005-06'!I3</f>
        <v>2523</v>
      </c>
      <c r="M5" s="19">
        <v>15000</v>
      </c>
      <c r="N5" s="24">
        <v>0.23</v>
      </c>
      <c r="O5" s="19">
        <f>M5*N5</f>
        <v>3450</v>
      </c>
    </row>
    <row r="6" spans="2:15" ht="15">
      <c r="B6" s="25" t="s">
        <v>47</v>
      </c>
      <c r="E6" s="26" t="s">
        <v>48</v>
      </c>
      <c r="F6" s="26">
        <f>ROUND(IF(F4&lt;=M5,F4*N5,IF(F4&lt;=M6,(F4-M5)*N6+O5,IF(F4&lt;=M7,(F4-M6)*N7+O6,IF(F4&lt;=M8,(F4-M7)*N8+O7,(F4-M8)*N9+O8)))),0)</f>
        <v>3397</v>
      </c>
      <c r="H6" s="21"/>
      <c r="I6" s="21"/>
      <c r="M6" s="19">
        <v>28000</v>
      </c>
      <c r="N6" s="24">
        <v>0.27</v>
      </c>
      <c r="O6" s="19">
        <f>(M6-M5)*N6+O5</f>
        <v>6960</v>
      </c>
    </row>
    <row r="7" spans="2:15" ht="15">
      <c r="B7" s="19" t="s">
        <v>49</v>
      </c>
      <c r="H7" s="27" t="s">
        <v>50</v>
      </c>
      <c r="I7" s="27">
        <f>F30-I5</f>
        <v>-11</v>
      </c>
      <c r="M7" s="19">
        <v>55000</v>
      </c>
      <c r="N7" s="24">
        <v>0.38</v>
      </c>
      <c r="O7" s="19">
        <f>(M7-M6)*N7+O6</f>
        <v>17220</v>
      </c>
    </row>
    <row r="8" spans="2:15" ht="15">
      <c r="B8" s="25" t="s">
        <v>51</v>
      </c>
      <c r="C8" s="19">
        <f>Foglio1!F35</f>
        <v>14770</v>
      </c>
      <c r="E8" s="19" t="s">
        <v>52</v>
      </c>
      <c r="F8" s="19">
        <f>IF(C20="s",800/12*C21,0)</f>
        <v>0</v>
      </c>
      <c r="M8" s="19">
        <v>75000</v>
      </c>
      <c r="N8" s="24">
        <v>0.41</v>
      </c>
      <c r="O8" s="19">
        <f>(M8-M7)*N8+O7</f>
        <v>25420</v>
      </c>
    </row>
    <row r="9" spans="2:14" ht="15">
      <c r="B9" s="19" t="s">
        <v>53</v>
      </c>
      <c r="E9" s="25" t="s">
        <v>54</v>
      </c>
      <c r="F9" s="28">
        <f>(80000-C16)/80000</f>
        <v>0.815375</v>
      </c>
      <c r="N9" s="24">
        <v>0.43</v>
      </c>
    </row>
    <row r="10" spans="2:9" ht="15">
      <c r="B10" s="25" t="s">
        <v>55</v>
      </c>
      <c r="C10" s="19">
        <v>0</v>
      </c>
      <c r="E10" s="19" t="s">
        <v>56</v>
      </c>
      <c r="F10" s="27">
        <f>ROUND(IF(F9&gt;=1,0,IF(F9&lt;=0,0,F8*F9)),0)</f>
        <v>0</v>
      </c>
      <c r="H10" s="23" t="s">
        <v>57</v>
      </c>
      <c r="I10" s="23">
        <f>'[1]Irpef 2005-06'!I8</f>
        <v>2523</v>
      </c>
    </row>
    <row r="11" spans="2:9" ht="15">
      <c r="B11" s="19" t="s">
        <v>58</v>
      </c>
      <c r="H11" s="21"/>
      <c r="I11" s="21"/>
    </row>
    <row r="12" spans="2:13" ht="15">
      <c r="B12" s="25" t="s">
        <v>59</v>
      </c>
      <c r="E12" s="19" t="s">
        <v>60</v>
      </c>
      <c r="F12" s="19">
        <f>IF(F22&gt;3,C22*1000/12*C23*C24,C22*800/12*C23*C24)</f>
        <v>0</v>
      </c>
      <c r="H12" s="27" t="s">
        <v>50</v>
      </c>
      <c r="I12" s="27">
        <f>F30-I10</f>
        <v>-11</v>
      </c>
      <c r="M12" s="19" t="s">
        <v>61</v>
      </c>
    </row>
    <row r="13" spans="2:15" ht="15">
      <c r="B13" s="19" t="s">
        <v>62</v>
      </c>
      <c r="E13" s="19" t="s">
        <v>63</v>
      </c>
      <c r="F13" s="19">
        <f>ROUND(IF(rapfam&gt;=1,0,IF(rapfam&lt;=0,0,rapfam*F12)),0)</f>
        <v>0</v>
      </c>
      <c r="M13" s="19">
        <v>0</v>
      </c>
      <c r="N13" s="19">
        <v>0</v>
      </c>
      <c r="O13" s="19" t="s">
        <v>64</v>
      </c>
    </row>
    <row r="14" spans="2:15" ht="15">
      <c r="B14" s="19" t="s">
        <v>65</v>
      </c>
      <c r="C14" s="19">
        <v>0</v>
      </c>
      <c r="E14" s="19" t="s">
        <v>66</v>
      </c>
      <c r="F14" s="19">
        <f>IF(F22&gt;3,C25*1100/12*C26*C27,C25*900/12*C26*C27)</f>
        <v>0</v>
      </c>
      <c r="M14" s="19">
        <v>0</v>
      </c>
      <c r="N14" s="19">
        <v>1840</v>
      </c>
      <c r="O14" s="19">
        <v>0</v>
      </c>
    </row>
    <row r="15" spans="5:14" ht="15">
      <c r="E15" s="19" t="s">
        <v>63</v>
      </c>
      <c r="F15" s="19">
        <f>ROUND(IF(rapfam&gt;=1,0,IF(rapfam&lt;=0,0,rapfam*F14)),0)</f>
        <v>0</v>
      </c>
      <c r="H15" s="23" t="s">
        <v>67</v>
      </c>
      <c r="I15" s="23">
        <f>'[1]Irpef 2005-06'!I13</f>
        <v>2652</v>
      </c>
      <c r="M15" s="19">
        <v>8000.01</v>
      </c>
      <c r="N15" s="19">
        <f>ROUND(1338+(502*((15000-C16)/7000)),0)</f>
        <v>1354</v>
      </c>
    </row>
    <row r="16" spans="2:14" ht="15">
      <c r="B16" s="19" t="s">
        <v>68</v>
      </c>
      <c r="C16" s="19">
        <f>SUM(C3:C15)</f>
        <v>14770</v>
      </c>
      <c r="E16" s="19" t="s">
        <v>69</v>
      </c>
      <c r="F16" s="19">
        <f>IF(F22&gt;3,C28*1070/12*C29*C30,C28*870/12*C29*C30)</f>
        <v>0</v>
      </c>
      <c r="H16" s="21"/>
      <c r="I16" s="21"/>
      <c r="M16" s="19">
        <v>15000.01</v>
      </c>
      <c r="N16" s="19">
        <f>ROUND(1338*(55000-C16)/40000,0)</f>
        <v>1346</v>
      </c>
    </row>
    <row r="17" spans="5:14" ht="15">
      <c r="E17" s="19" t="s">
        <v>63</v>
      </c>
      <c r="F17" s="19">
        <f>ROUND(IF(rapfam&gt;=1,0,IF(rapfam&lt;=0,0,rapfam*F16)),0)</f>
        <v>0</v>
      </c>
      <c r="H17" s="27" t="s">
        <v>50</v>
      </c>
      <c r="I17" s="27">
        <f>F30-I15</f>
        <v>-140</v>
      </c>
      <c r="M17" s="19">
        <v>55000.01</v>
      </c>
      <c r="N17" s="19">
        <v>0</v>
      </c>
    </row>
    <row r="18" spans="2:6" ht="15">
      <c r="B18" s="19" t="s">
        <v>70</v>
      </c>
      <c r="C18" s="29"/>
      <c r="E18" s="19" t="s">
        <v>71</v>
      </c>
      <c r="F18" s="19">
        <f>IF(F22&gt;3,C31*1170/12*C32*C33,C31*970/12*C32*C33)</f>
        <v>0</v>
      </c>
    </row>
    <row r="19" spans="3:13" ht="15">
      <c r="C19" s="22"/>
      <c r="E19" s="19" t="s">
        <v>63</v>
      </c>
      <c r="F19" s="19">
        <f>ROUND(IF(rapfam&gt;=1,0,IF(rapfam&lt;=0,0,rapfam*F18)),0)</f>
        <v>0</v>
      </c>
      <c r="M19" s="19" t="s">
        <v>72</v>
      </c>
    </row>
    <row r="20" spans="2:15" ht="15">
      <c r="B20" s="19" t="s">
        <v>73</v>
      </c>
      <c r="C20" s="38" t="str">
        <f>Foglio1!N16</f>
        <v>N</v>
      </c>
      <c r="E20" s="19" t="s">
        <v>74</v>
      </c>
      <c r="F20" s="31">
        <f>IF(C34&gt;0,750/12*C35*C36,0)</f>
        <v>0</v>
      </c>
      <c r="M20" s="19">
        <v>0</v>
      </c>
      <c r="N20" s="19">
        <v>0</v>
      </c>
      <c r="O20" s="19" t="s">
        <v>64</v>
      </c>
    </row>
    <row r="21" spans="2:15" ht="15">
      <c r="B21" s="19" t="s">
        <v>75</v>
      </c>
      <c r="C21" s="39">
        <f>Foglio1!N17</f>
        <v>0</v>
      </c>
      <c r="E21" s="19" t="s">
        <v>63</v>
      </c>
      <c r="F21" s="19">
        <f>ROUND(IF(rapcon&gt;=1,0,IF(rapcon&lt;=0,0,rapcon*F20)),0)</f>
        <v>0</v>
      </c>
      <c r="M21" s="19">
        <v>0</v>
      </c>
      <c r="N21" s="19">
        <v>1725</v>
      </c>
      <c r="O21" s="19">
        <f>IF(dipe&gt;0,O14,IF(pensio&gt;0,O14,0))</f>
        <v>0</v>
      </c>
    </row>
    <row r="22" spans="2:14" ht="15">
      <c r="B22" s="19" t="s">
        <v>76</v>
      </c>
      <c r="C22" s="38">
        <f>Foglio1!N18</f>
        <v>0</v>
      </c>
      <c r="E22" s="25" t="s">
        <v>77</v>
      </c>
      <c r="F22" s="33">
        <f>C22+C25+C28+C31</f>
        <v>0</v>
      </c>
      <c r="M22" s="19">
        <v>7500.01</v>
      </c>
      <c r="N22" s="19">
        <f>ROUND(1225+(470*((15000-C16)/7500)),0)</f>
        <v>1239</v>
      </c>
    </row>
    <row r="23" spans="2:14" ht="15">
      <c r="B23" s="19" t="s">
        <v>75</v>
      </c>
      <c r="C23" s="39">
        <f>Foglio1!N19</f>
        <v>0</v>
      </c>
      <c r="E23" s="25" t="s">
        <v>78</v>
      </c>
      <c r="F23" s="19">
        <f>IF(F22=1,95000,(F22-1)*15000+95000)</f>
        <v>80000</v>
      </c>
      <c r="M23" s="19">
        <v>15000.01</v>
      </c>
      <c r="N23" s="19">
        <f>ROUND(1225*(55000-C16)/40000,0)</f>
        <v>1232</v>
      </c>
    </row>
    <row r="24" spans="2:14" ht="15">
      <c r="B24" s="19" t="s">
        <v>79</v>
      </c>
      <c r="C24" s="40">
        <f>Foglio1!N20</f>
        <v>0</v>
      </c>
      <c r="E24" s="19" t="s">
        <v>54</v>
      </c>
      <c r="F24" s="28">
        <f>(nummag-C16)/nummag</f>
        <v>0.815375</v>
      </c>
      <c r="M24" s="19">
        <v>55000.01</v>
      </c>
      <c r="N24" s="19">
        <v>0</v>
      </c>
    </row>
    <row r="25" spans="2:6" ht="15">
      <c r="B25" s="19" t="s">
        <v>80</v>
      </c>
      <c r="C25" s="32">
        <v>0</v>
      </c>
      <c r="E25" s="19" t="s">
        <v>81</v>
      </c>
      <c r="F25" s="27">
        <f>F10+F13+F15+F17+F19+F21</f>
        <v>0</v>
      </c>
    </row>
    <row r="26" spans="2:3" ht="15">
      <c r="B26" s="19" t="s">
        <v>75</v>
      </c>
      <c r="C26" s="32">
        <v>0</v>
      </c>
    </row>
    <row r="27" spans="2:15" ht="15">
      <c r="B27" s="19" t="s">
        <v>79</v>
      </c>
      <c r="C27" s="34">
        <v>0</v>
      </c>
      <c r="E27" s="19" t="s">
        <v>82</v>
      </c>
      <c r="F27" s="19">
        <f>IF(O21&gt;O27,O21,O27)</f>
        <v>0</v>
      </c>
      <c r="M27" s="19" t="s">
        <v>82</v>
      </c>
      <c r="O27" s="19">
        <f>ROUND(IF(dipe&gt;0,VLOOKUP(dipe,detraz,2)*C18/365,IF(pensio&gt;0,VLOOKUP(pensio,detrpensio,2)*C18/365,0)),0)</f>
        <v>0</v>
      </c>
    </row>
    <row r="28" spans="2:6" ht="15">
      <c r="B28" s="19" t="s">
        <v>83</v>
      </c>
      <c r="C28" s="32">
        <v>0</v>
      </c>
      <c r="E28" s="19" t="s">
        <v>84</v>
      </c>
      <c r="F28" s="19">
        <f>IF(F27&gt;0,0,IF(autimpe&gt;0,VLOOKUP(autimpe,detrauto,2),0))</f>
        <v>885</v>
      </c>
    </row>
    <row r="29" spans="2:3" ht="15">
      <c r="B29" s="19" t="s">
        <v>75</v>
      </c>
      <c r="C29" s="32">
        <v>0</v>
      </c>
    </row>
    <row r="30" spans="2:13" ht="15">
      <c r="B30" s="19" t="s">
        <v>79</v>
      </c>
      <c r="C30" s="34">
        <v>0</v>
      </c>
      <c r="E30" s="35" t="s">
        <v>85</v>
      </c>
      <c r="F30" s="35">
        <f>IF(F6-F25-F27&gt;0,F6-F25-F27-F28,0)</f>
        <v>2512</v>
      </c>
      <c r="M30" s="19" t="s">
        <v>86</v>
      </c>
    </row>
    <row r="31" spans="2:14" ht="15">
      <c r="B31" s="19" t="s">
        <v>87</v>
      </c>
      <c r="C31" s="32">
        <v>0</v>
      </c>
      <c r="M31" s="19">
        <v>0</v>
      </c>
      <c r="N31" s="19">
        <v>0</v>
      </c>
    </row>
    <row r="32" spans="2:14" ht="15">
      <c r="B32" s="19" t="s">
        <v>75</v>
      </c>
      <c r="C32" s="32">
        <v>0</v>
      </c>
      <c r="M32" s="19">
        <v>0</v>
      </c>
      <c r="N32" s="19">
        <v>1104</v>
      </c>
    </row>
    <row r="33" spans="2:14" ht="15.75">
      <c r="B33" s="19" t="s">
        <v>79</v>
      </c>
      <c r="C33" s="34">
        <v>0</v>
      </c>
      <c r="E33" s="15" t="s">
        <v>33</v>
      </c>
      <c r="M33" s="19">
        <v>4800.01</v>
      </c>
      <c r="N33" s="19">
        <f>ROUND(1104*(55000-C16)/50200,0)</f>
        <v>885</v>
      </c>
    </row>
    <row r="34" spans="2:14" ht="15">
      <c r="B34" s="19" t="s">
        <v>88</v>
      </c>
      <c r="C34" s="36">
        <v>0</v>
      </c>
      <c r="E34" s="16" t="s">
        <v>34</v>
      </c>
      <c r="M34" s="19">
        <v>55000.01</v>
      </c>
      <c r="N34" s="19">
        <v>0</v>
      </c>
    </row>
    <row r="35" spans="2:3" ht="15">
      <c r="B35" s="19" t="s">
        <v>75</v>
      </c>
      <c r="C35" s="36">
        <v>0</v>
      </c>
    </row>
    <row r="36" spans="2:13" ht="15">
      <c r="B36" s="19" t="s">
        <v>79</v>
      </c>
      <c r="C36" s="34">
        <v>0</v>
      </c>
      <c r="M36" s="19">
        <f>C7+C8+C11+C12+C13</f>
        <v>14770</v>
      </c>
    </row>
  </sheetData>
  <sheetProtection password="CC98" sheet="1"/>
  <hyperlinks>
    <hyperlink ref="E34" r:id="rId1" display="www.simonini.biz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4.7109375" style="19" customWidth="1"/>
    <col min="2" max="2" width="23.8515625" style="19" bestFit="1" customWidth="1"/>
    <col min="3" max="3" width="12.8515625" style="19" bestFit="1" customWidth="1"/>
    <col min="4" max="4" width="4.421875" style="19" customWidth="1"/>
    <col min="5" max="5" width="24.00390625" style="19" bestFit="1" customWidth="1"/>
    <col min="6" max="6" width="12.8515625" style="19" bestFit="1" customWidth="1"/>
    <col min="7" max="7" width="3.8515625" style="19" hidden="1" customWidth="1"/>
    <col min="8" max="8" width="16.8515625" style="19" hidden="1" customWidth="1"/>
    <col min="9" max="9" width="11.8515625" style="19" hidden="1" customWidth="1"/>
    <col min="10" max="10" width="9.28125" style="19" hidden="1" customWidth="1"/>
    <col min="11" max="12" width="0" style="19" hidden="1" customWidth="1"/>
    <col min="13" max="13" width="11.8515625" style="19" bestFit="1" customWidth="1"/>
    <col min="14" max="14" width="12.8515625" style="19" bestFit="1" customWidth="1"/>
    <col min="15" max="15" width="11.8515625" style="19" bestFit="1" customWidth="1"/>
    <col min="16" max="16384" width="9.140625" style="19" customWidth="1"/>
  </cols>
  <sheetData>
    <row r="1" spans="1:6" ht="16.5">
      <c r="A1" s="17" t="s">
        <v>37</v>
      </c>
      <c r="B1" s="18"/>
      <c r="E1" s="20"/>
      <c r="F1" s="21"/>
    </row>
    <row r="2" spans="5:6" ht="15">
      <c r="E2" s="19" t="s">
        <v>38</v>
      </c>
      <c r="F2" s="19">
        <f>Foglio1!G34</f>
        <v>7104</v>
      </c>
    </row>
    <row r="3" spans="2:15" ht="15">
      <c r="B3" s="19" t="s">
        <v>39</v>
      </c>
      <c r="C3" s="19">
        <v>0</v>
      </c>
      <c r="M3" s="19" t="s">
        <v>40</v>
      </c>
      <c r="N3" s="19" t="s">
        <v>41</v>
      </c>
      <c r="O3" s="19" t="s">
        <v>42</v>
      </c>
    </row>
    <row r="4" spans="2:6" ht="15">
      <c r="B4" s="19" t="s">
        <v>43</v>
      </c>
      <c r="E4" s="19" t="s">
        <v>44</v>
      </c>
      <c r="F4" s="19">
        <f>C16-F2</f>
        <v>13666</v>
      </c>
    </row>
    <row r="5" spans="2:15" ht="15">
      <c r="B5" s="19" t="s">
        <v>45</v>
      </c>
      <c r="E5" s="21"/>
      <c r="F5" s="21"/>
      <c r="H5" s="23" t="s">
        <v>46</v>
      </c>
      <c r="I5" s="23">
        <f>'[1]Irpef 2005-06'!I3</f>
        <v>2523</v>
      </c>
      <c r="M5" s="19">
        <v>15000</v>
      </c>
      <c r="N5" s="24">
        <v>0.23</v>
      </c>
      <c r="O5" s="19">
        <f>M5*N5</f>
        <v>3450</v>
      </c>
    </row>
    <row r="6" spans="2:15" ht="15">
      <c r="B6" s="25" t="s">
        <v>47</v>
      </c>
      <c r="E6" s="26" t="s">
        <v>48</v>
      </c>
      <c r="F6" s="26">
        <f>ROUND(IF(F4&lt;=M5,F4*N5,IF(F4&lt;=M6,(F4-M5)*N6+O5,IF(F4&lt;=M7,(F4-M6)*N7+O6,IF(F4&lt;=M8,(F4-M7)*N8+O7,(F4-M8)*N9+O8)))),0)</f>
        <v>3143</v>
      </c>
      <c r="H6" s="21"/>
      <c r="I6" s="21"/>
      <c r="M6" s="19">
        <v>28000</v>
      </c>
      <c r="N6" s="24">
        <v>0.27</v>
      </c>
      <c r="O6" s="19">
        <f>(M6-M5)*N6+O5</f>
        <v>6960</v>
      </c>
    </row>
    <row r="7" spans="2:15" ht="15">
      <c r="B7" s="19" t="s">
        <v>49</v>
      </c>
      <c r="H7" s="27" t="s">
        <v>50</v>
      </c>
      <c r="I7" s="27">
        <f>F30-I5</f>
        <v>-265</v>
      </c>
      <c r="M7" s="19">
        <v>55000</v>
      </c>
      <c r="N7" s="24">
        <v>0.38</v>
      </c>
      <c r="O7" s="19">
        <f>(M7-M6)*N7+O6</f>
        <v>17220</v>
      </c>
    </row>
    <row r="8" spans="2:15" ht="15">
      <c r="B8" s="25" t="s">
        <v>51</v>
      </c>
      <c r="C8" s="19">
        <f>Foglio1!G35</f>
        <v>20770</v>
      </c>
      <c r="E8" s="19" t="s">
        <v>52</v>
      </c>
      <c r="F8" s="19">
        <f>IF(C20="s",800/12*C21,0)</f>
        <v>0</v>
      </c>
      <c r="M8" s="19">
        <v>75000</v>
      </c>
      <c r="N8" s="24">
        <v>0.41</v>
      </c>
      <c r="O8" s="19">
        <f>(M8-M7)*N8+O7</f>
        <v>25420</v>
      </c>
    </row>
    <row r="9" spans="2:14" ht="15">
      <c r="B9" s="19" t="s">
        <v>53</v>
      </c>
      <c r="E9" s="25" t="s">
        <v>54</v>
      </c>
      <c r="F9" s="28">
        <f>(80000-C16)/80000</f>
        <v>0.740375</v>
      </c>
      <c r="N9" s="24">
        <v>0.43</v>
      </c>
    </row>
    <row r="10" spans="2:9" ht="15">
      <c r="B10" s="25" t="s">
        <v>55</v>
      </c>
      <c r="C10" s="19">
        <v>0</v>
      </c>
      <c r="E10" s="19" t="s">
        <v>56</v>
      </c>
      <c r="F10" s="27">
        <f>ROUND(IF(F9&gt;=1,0,IF(F9&lt;=0,0,F8*F9)),0)</f>
        <v>0</v>
      </c>
      <c r="H10" s="23" t="s">
        <v>57</v>
      </c>
      <c r="I10" s="23">
        <f>'[1]Irpef 2005-06'!I8</f>
        <v>2523</v>
      </c>
    </row>
    <row r="11" spans="2:9" ht="15">
      <c r="B11" s="19" t="s">
        <v>58</v>
      </c>
      <c r="H11" s="21"/>
      <c r="I11" s="21"/>
    </row>
    <row r="12" spans="2:13" ht="15">
      <c r="B12" s="25" t="s">
        <v>59</v>
      </c>
      <c r="E12" s="19" t="s">
        <v>60</v>
      </c>
      <c r="F12" s="19">
        <f>IF(F22&gt;3,C22*1000/12*C23*C24,C22*800/12*C23*C24)</f>
        <v>0</v>
      </c>
      <c r="H12" s="27" t="s">
        <v>50</v>
      </c>
      <c r="I12" s="27">
        <f>F30-I10</f>
        <v>-265</v>
      </c>
      <c r="M12" s="19" t="s">
        <v>61</v>
      </c>
    </row>
    <row r="13" spans="2:15" ht="15">
      <c r="B13" s="19" t="s">
        <v>62</v>
      </c>
      <c r="E13" s="19" t="s">
        <v>63</v>
      </c>
      <c r="F13" s="19">
        <f>ROUND(IF(rapfam&gt;=1,0,IF(rapfam&lt;=0,0,rapfam*F12)),0)</f>
        <v>0</v>
      </c>
      <c r="M13" s="19">
        <v>0</v>
      </c>
      <c r="N13" s="19">
        <v>0</v>
      </c>
      <c r="O13" s="19" t="s">
        <v>64</v>
      </c>
    </row>
    <row r="14" spans="2:15" ht="15">
      <c r="B14" s="19" t="s">
        <v>65</v>
      </c>
      <c r="C14" s="19">
        <v>0</v>
      </c>
      <c r="E14" s="19" t="s">
        <v>66</v>
      </c>
      <c r="F14" s="19">
        <f>IF(F22&gt;3,C25*1100/12*C26*C27,C25*900/12*C26*C27)</f>
        <v>0</v>
      </c>
      <c r="M14" s="19">
        <v>0</v>
      </c>
      <c r="N14" s="19">
        <v>1840</v>
      </c>
      <c r="O14" s="19">
        <v>0</v>
      </c>
    </row>
    <row r="15" spans="5:14" ht="15">
      <c r="E15" s="19" t="s">
        <v>63</v>
      </c>
      <c r="F15" s="19">
        <f>ROUND(IF(rapfam&gt;=1,0,IF(rapfam&lt;=0,0,rapfam*F14)),0)</f>
        <v>0</v>
      </c>
      <c r="H15" s="23" t="s">
        <v>67</v>
      </c>
      <c r="I15" s="23">
        <f>'[1]Irpef 2005-06'!I13</f>
        <v>2652</v>
      </c>
      <c r="M15" s="19">
        <v>8000.01</v>
      </c>
      <c r="N15" s="19">
        <f>ROUND(1338+(502*((15000-C16)/7000)),0)</f>
        <v>924</v>
      </c>
    </row>
    <row r="16" spans="2:14" ht="15">
      <c r="B16" s="19" t="s">
        <v>68</v>
      </c>
      <c r="C16" s="19">
        <f>SUM(C3:C15)</f>
        <v>20770</v>
      </c>
      <c r="E16" s="19" t="s">
        <v>69</v>
      </c>
      <c r="F16" s="19">
        <f>IF(F22&gt;3,C28*1070/12*C29*C30,C28*870/12*C29*C30)</f>
        <v>0</v>
      </c>
      <c r="H16" s="21"/>
      <c r="I16" s="21"/>
      <c r="M16" s="19">
        <v>15000.01</v>
      </c>
      <c r="N16" s="19">
        <f>ROUND(1338*(55000-C16)/40000,0)</f>
        <v>1145</v>
      </c>
    </row>
    <row r="17" spans="5:14" ht="15">
      <c r="E17" s="19" t="s">
        <v>63</v>
      </c>
      <c r="F17" s="19">
        <f>ROUND(IF(rapfam&gt;=1,0,IF(rapfam&lt;=0,0,rapfam*F16)),0)</f>
        <v>0</v>
      </c>
      <c r="H17" s="27" t="s">
        <v>50</v>
      </c>
      <c r="I17" s="27">
        <f>F30-I15</f>
        <v>-394</v>
      </c>
      <c r="M17" s="19">
        <v>55000.01</v>
      </c>
      <c r="N17" s="19">
        <v>0</v>
      </c>
    </row>
    <row r="18" spans="2:6" ht="15">
      <c r="B18" s="19" t="s">
        <v>70</v>
      </c>
      <c r="C18" s="33"/>
      <c r="E18" s="19" t="s">
        <v>71</v>
      </c>
      <c r="F18" s="19">
        <f>IF(F22&gt;3,C31*1170/12*C32*C33,C31*970/12*C32*C33)</f>
        <v>0</v>
      </c>
    </row>
    <row r="19" spans="5:13" ht="15">
      <c r="E19" s="19" t="s">
        <v>63</v>
      </c>
      <c r="F19" s="19">
        <f>ROUND(IF(rapfam&gt;=1,0,IF(rapfam&lt;=0,0,rapfam*F18)),0)</f>
        <v>0</v>
      </c>
      <c r="M19" s="19" t="s">
        <v>72</v>
      </c>
    </row>
    <row r="20" spans="2:15" ht="15">
      <c r="B20" s="19" t="s">
        <v>73</v>
      </c>
      <c r="C20" s="38" t="str">
        <f>Foglio1!N16</f>
        <v>N</v>
      </c>
      <c r="E20" s="19" t="s">
        <v>74</v>
      </c>
      <c r="F20" s="31">
        <f>IF(C34&gt;0,750/12*C35*C36,0)</f>
        <v>0</v>
      </c>
      <c r="M20" s="19">
        <v>0</v>
      </c>
      <c r="N20" s="19">
        <v>0</v>
      </c>
      <c r="O20" s="19" t="s">
        <v>64</v>
      </c>
    </row>
    <row r="21" spans="2:15" ht="15">
      <c r="B21" s="19" t="s">
        <v>75</v>
      </c>
      <c r="C21" s="39">
        <f>Foglio1!N17</f>
        <v>0</v>
      </c>
      <c r="E21" s="19" t="s">
        <v>63</v>
      </c>
      <c r="F21" s="19">
        <f>ROUND(IF(rapcon&gt;=1,0,IF(rapcon&lt;=0,0,rapcon*F20)),0)</f>
        <v>0</v>
      </c>
      <c r="M21" s="19">
        <v>0</v>
      </c>
      <c r="N21" s="19">
        <v>1725</v>
      </c>
      <c r="O21" s="19">
        <f>IF(dipe&gt;0,O14,IF(pensio&gt;0,O14,0))</f>
        <v>0</v>
      </c>
    </row>
    <row r="22" spans="2:14" ht="15">
      <c r="B22" s="19" t="s">
        <v>76</v>
      </c>
      <c r="C22" s="38">
        <f>Foglio1!N18</f>
        <v>0</v>
      </c>
      <c r="E22" s="25" t="s">
        <v>77</v>
      </c>
      <c r="F22" s="33">
        <f>C22+C25+C28+C31</f>
        <v>0</v>
      </c>
      <c r="M22" s="19">
        <v>7500.01</v>
      </c>
      <c r="N22" s="19">
        <f>ROUND(1225+(470*((15000-C16)/7500)),0)</f>
        <v>863</v>
      </c>
    </row>
    <row r="23" spans="2:14" ht="15">
      <c r="B23" s="19" t="s">
        <v>75</v>
      </c>
      <c r="C23" s="39">
        <f>Foglio1!N19</f>
        <v>0</v>
      </c>
      <c r="E23" s="25" t="s">
        <v>78</v>
      </c>
      <c r="F23" s="19">
        <f>IF(F22=1,95000,(F22-1)*15000+95000)</f>
        <v>80000</v>
      </c>
      <c r="M23" s="19">
        <v>15000.01</v>
      </c>
      <c r="N23" s="19">
        <f>ROUND(1225*(55000-C16)/40000,0)</f>
        <v>1048</v>
      </c>
    </row>
    <row r="24" spans="2:14" ht="15">
      <c r="B24" s="19" t="s">
        <v>79</v>
      </c>
      <c r="C24" s="40">
        <f>Foglio1!N20</f>
        <v>0</v>
      </c>
      <c r="E24" s="19" t="s">
        <v>54</v>
      </c>
      <c r="F24" s="28">
        <f>(nummag-C16)/nummag</f>
        <v>0.740375</v>
      </c>
      <c r="M24" s="19">
        <v>55000.01</v>
      </c>
      <c r="N24" s="19">
        <v>0</v>
      </c>
    </row>
    <row r="25" spans="2:6" ht="15">
      <c r="B25" s="19" t="s">
        <v>80</v>
      </c>
      <c r="C25" s="32">
        <v>0</v>
      </c>
      <c r="E25" s="19" t="s">
        <v>81</v>
      </c>
      <c r="F25" s="27">
        <f>F10+F13+F15+F17+F19+F21</f>
        <v>0</v>
      </c>
    </row>
    <row r="26" spans="2:3" ht="15">
      <c r="B26" s="19" t="s">
        <v>75</v>
      </c>
      <c r="C26" s="32">
        <v>0</v>
      </c>
    </row>
    <row r="27" spans="2:15" ht="15">
      <c r="B27" s="19" t="s">
        <v>79</v>
      </c>
      <c r="C27" s="34">
        <v>0</v>
      </c>
      <c r="E27" s="19" t="s">
        <v>82</v>
      </c>
      <c r="F27" s="19">
        <f>IF(O21&gt;O27,O21,O27)</f>
        <v>0</v>
      </c>
      <c r="M27" s="19" t="s">
        <v>82</v>
      </c>
      <c r="O27" s="19">
        <f>ROUND(IF(dipe&gt;0,VLOOKUP(dipe,detraz,2)*C18/365,IF(pensio&gt;0,VLOOKUP(pensio,detrpensio,2)*C18/365,0)),0)</f>
        <v>0</v>
      </c>
    </row>
    <row r="28" spans="2:6" ht="15">
      <c r="B28" s="19" t="s">
        <v>83</v>
      </c>
      <c r="C28" s="32">
        <v>0</v>
      </c>
      <c r="E28" s="19" t="s">
        <v>84</v>
      </c>
      <c r="F28" s="19">
        <f>IF(F27&gt;0,0,IF(autimpe&gt;0,VLOOKUP(autimpe,detrauto,2),0))</f>
        <v>885</v>
      </c>
    </row>
    <row r="29" spans="2:3" ht="15">
      <c r="B29" s="19" t="s">
        <v>75</v>
      </c>
      <c r="C29" s="32">
        <v>0</v>
      </c>
    </row>
    <row r="30" spans="2:13" ht="15">
      <c r="B30" s="19" t="s">
        <v>79</v>
      </c>
      <c r="C30" s="34">
        <v>0</v>
      </c>
      <c r="E30" s="35" t="s">
        <v>85</v>
      </c>
      <c r="F30" s="35">
        <f>IF(F6-F25-F27&gt;0,F6-F25-F27-F28,0)</f>
        <v>2258</v>
      </c>
      <c r="M30" s="19" t="s">
        <v>86</v>
      </c>
    </row>
    <row r="31" spans="2:14" ht="15">
      <c r="B31" s="19" t="s">
        <v>87</v>
      </c>
      <c r="C31" s="32">
        <v>0</v>
      </c>
      <c r="M31" s="19">
        <v>0</v>
      </c>
      <c r="N31" s="19">
        <v>0</v>
      </c>
    </row>
    <row r="32" spans="2:14" ht="15">
      <c r="B32" s="19" t="s">
        <v>75</v>
      </c>
      <c r="C32" s="32">
        <v>0</v>
      </c>
      <c r="M32" s="19">
        <v>0</v>
      </c>
      <c r="N32" s="19">
        <v>1104</v>
      </c>
    </row>
    <row r="33" spans="2:14" ht="15.75">
      <c r="B33" s="19" t="s">
        <v>79</v>
      </c>
      <c r="C33" s="34">
        <v>0</v>
      </c>
      <c r="E33" s="15" t="s">
        <v>33</v>
      </c>
      <c r="M33" s="19">
        <v>4800.01</v>
      </c>
      <c r="N33" s="19">
        <f>ROUND(1104*(55000-C16)/50200,0)</f>
        <v>753</v>
      </c>
    </row>
    <row r="34" spans="2:14" ht="15">
      <c r="B34" s="19" t="s">
        <v>88</v>
      </c>
      <c r="C34" s="36">
        <v>0</v>
      </c>
      <c r="E34" s="16" t="s">
        <v>34</v>
      </c>
      <c r="M34" s="19">
        <v>55000.01</v>
      </c>
      <c r="N34" s="19">
        <v>0</v>
      </c>
    </row>
    <row r="35" spans="2:3" ht="15">
      <c r="B35" s="19" t="s">
        <v>75</v>
      </c>
      <c r="C35" s="36">
        <v>0</v>
      </c>
    </row>
    <row r="36" spans="2:13" ht="15">
      <c r="B36" s="19" t="s">
        <v>79</v>
      </c>
      <c r="C36" s="34">
        <v>0</v>
      </c>
      <c r="M36" s="19">
        <f>C7+C8+C11+C12+C13</f>
        <v>20770</v>
      </c>
    </row>
  </sheetData>
  <sheetProtection password="CC98" sheet="1"/>
  <hyperlinks>
    <hyperlink ref="E34" r:id="rId1" display="www.simonini.biz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4.7109375" style="19" customWidth="1"/>
    <col min="2" max="2" width="23.8515625" style="19" bestFit="1" customWidth="1"/>
    <col min="3" max="3" width="12.8515625" style="19" bestFit="1" customWidth="1"/>
    <col min="4" max="4" width="4.421875" style="19" customWidth="1"/>
    <col min="5" max="5" width="24.00390625" style="19" bestFit="1" customWidth="1"/>
    <col min="6" max="6" width="12.8515625" style="19" bestFit="1" customWidth="1"/>
    <col min="7" max="7" width="3.8515625" style="19" hidden="1" customWidth="1"/>
    <col min="8" max="8" width="16.8515625" style="19" hidden="1" customWidth="1"/>
    <col min="9" max="9" width="11.8515625" style="19" hidden="1" customWidth="1"/>
    <col min="10" max="10" width="9.28125" style="19" hidden="1" customWidth="1"/>
    <col min="11" max="12" width="0" style="19" hidden="1" customWidth="1"/>
    <col min="13" max="13" width="11.8515625" style="19" bestFit="1" customWidth="1"/>
    <col min="14" max="14" width="12.8515625" style="19" bestFit="1" customWidth="1"/>
    <col min="15" max="15" width="11.8515625" style="19" bestFit="1" customWidth="1"/>
    <col min="16" max="16384" width="9.140625" style="19" customWidth="1"/>
  </cols>
  <sheetData>
    <row r="1" spans="1:6" ht="16.5">
      <c r="A1" s="17" t="s">
        <v>37</v>
      </c>
      <c r="B1" s="18"/>
      <c r="E1" s="20"/>
      <c r="F1" s="21"/>
    </row>
    <row r="2" spans="5:6" ht="15">
      <c r="E2" s="19" t="s">
        <v>38</v>
      </c>
      <c r="F2" s="19">
        <f>Foglio1!H34</f>
        <v>6833</v>
      </c>
    </row>
    <row r="3" spans="2:15" ht="15">
      <c r="B3" s="19" t="s">
        <v>39</v>
      </c>
      <c r="C3" s="19">
        <v>0</v>
      </c>
      <c r="M3" s="19" t="s">
        <v>40</v>
      </c>
      <c r="N3" s="19" t="s">
        <v>41</v>
      </c>
      <c r="O3" s="19" t="s">
        <v>42</v>
      </c>
    </row>
    <row r="4" spans="2:6" ht="15">
      <c r="B4" s="19" t="s">
        <v>43</v>
      </c>
      <c r="E4" s="19" t="s">
        <v>44</v>
      </c>
      <c r="F4" s="19">
        <f>C16-F2</f>
        <v>13937</v>
      </c>
    </row>
    <row r="5" spans="2:15" ht="15">
      <c r="B5" s="19" t="s">
        <v>45</v>
      </c>
      <c r="E5" s="21"/>
      <c r="F5" s="21"/>
      <c r="H5" s="23" t="s">
        <v>46</v>
      </c>
      <c r="I5" s="23">
        <f>'[1]Irpef 2005-06'!I3</f>
        <v>2523</v>
      </c>
      <c r="M5" s="19">
        <v>15000</v>
      </c>
      <c r="N5" s="24">
        <v>0.23</v>
      </c>
      <c r="O5" s="19">
        <f>M5*N5</f>
        <v>3450</v>
      </c>
    </row>
    <row r="6" spans="2:15" ht="15">
      <c r="B6" s="25" t="s">
        <v>47</v>
      </c>
      <c r="E6" s="26" t="s">
        <v>48</v>
      </c>
      <c r="F6" s="26">
        <f>ROUND(IF(F4&lt;=M5,F4*N5,IF(F4&lt;=M6,(F4-M5)*N6+O5,IF(F4&lt;=M7,(F4-M6)*N7+O6,IF(F4&lt;=M8,(F4-M7)*N8+O7,(F4-M8)*N9+O8)))),0)</f>
        <v>3206</v>
      </c>
      <c r="H6" s="21"/>
      <c r="I6" s="21"/>
      <c r="M6" s="19">
        <v>28000</v>
      </c>
      <c r="N6" s="24">
        <v>0.27</v>
      </c>
      <c r="O6" s="19">
        <f>(M6-M5)*N6+O5</f>
        <v>6960</v>
      </c>
    </row>
    <row r="7" spans="2:15" ht="15">
      <c r="B7" s="19" t="s">
        <v>49</v>
      </c>
      <c r="H7" s="27" t="s">
        <v>50</v>
      </c>
      <c r="I7" s="27">
        <f>F30-I5</f>
        <v>-202</v>
      </c>
      <c r="M7" s="19">
        <v>55000</v>
      </c>
      <c r="N7" s="24">
        <v>0.38</v>
      </c>
      <c r="O7" s="19">
        <f>(M7-M6)*N7+O6</f>
        <v>17220</v>
      </c>
    </row>
    <row r="8" spans="2:15" ht="15">
      <c r="B8" s="25" t="s">
        <v>51</v>
      </c>
      <c r="C8" s="19">
        <f>Foglio1!H35</f>
        <v>20770</v>
      </c>
      <c r="E8" s="19" t="s">
        <v>52</v>
      </c>
      <c r="F8" s="19">
        <f>IF(C20="s",800/12*C21,0)</f>
        <v>0</v>
      </c>
      <c r="M8" s="19">
        <v>75000</v>
      </c>
      <c r="N8" s="24">
        <v>0.41</v>
      </c>
      <c r="O8" s="19">
        <f>(M8-M7)*N8+O7</f>
        <v>25420</v>
      </c>
    </row>
    <row r="9" spans="2:14" ht="15">
      <c r="B9" s="19" t="s">
        <v>53</v>
      </c>
      <c r="E9" s="25" t="s">
        <v>54</v>
      </c>
      <c r="F9" s="28">
        <f>(80000-C16)/80000</f>
        <v>0.740375</v>
      </c>
      <c r="N9" s="24">
        <v>0.43</v>
      </c>
    </row>
    <row r="10" spans="2:9" ht="15">
      <c r="B10" s="25" t="s">
        <v>55</v>
      </c>
      <c r="C10" s="19">
        <v>0</v>
      </c>
      <c r="E10" s="19" t="s">
        <v>56</v>
      </c>
      <c r="F10" s="27">
        <f>ROUND(IF(F9&gt;=1,0,IF(F9&lt;=0,0,F8*F9)),0)</f>
        <v>0</v>
      </c>
      <c r="H10" s="23" t="s">
        <v>57</v>
      </c>
      <c r="I10" s="23">
        <f>'[1]Irpef 2005-06'!I8</f>
        <v>2523</v>
      </c>
    </row>
    <row r="11" spans="2:9" ht="15">
      <c r="B11" s="19" t="s">
        <v>58</v>
      </c>
      <c r="H11" s="21"/>
      <c r="I11" s="21"/>
    </row>
    <row r="12" spans="2:13" ht="15">
      <c r="B12" s="25" t="s">
        <v>59</v>
      </c>
      <c r="E12" s="19" t="s">
        <v>60</v>
      </c>
      <c r="F12" s="19">
        <f>IF(F22&gt;3,C22*1000/12*C23*C24,C22*800/12*C23*C24)</f>
        <v>0</v>
      </c>
      <c r="H12" s="27" t="s">
        <v>50</v>
      </c>
      <c r="I12" s="27">
        <f>F30-I10</f>
        <v>-202</v>
      </c>
      <c r="M12" s="19" t="s">
        <v>61</v>
      </c>
    </row>
    <row r="13" spans="2:15" ht="15">
      <c r="B13" s="19" t="s">
        <v>62</v>
      </c>
      <c r="E13" s="19" t="s">
        <v>63</v>
      </c>
      <c r="F13" s="19">
        <f>ROUND(IF(rapfam&gt;=1,0,IF(rapfam&lt;=0,0,rapfam*F12)),0)</f>
        <v>0</v>
      </c>
      <c r="M13" s="19">
        <v>0</v>
      </c>
      <c r="N13" s="19">
        <v>0</v>
      </c>
      <c r="O13" s="19" t="s">
        <v>64</v>
      </c>
    </row>
    <row r="14" spans="2:15" ht="15">
      <c r="B14" s="19" t="s">
        <v>65</v>
      </c>
      <c r="C14" s="19">
        <v>0</v>
      </c>
      <c r="E14" s="19" t="s">
        <v>66</v>
      </c>
      <c r="F14" s="19">
        <f>IF(F22&gt;3,C25*1100/12*C26*C27,C25*900/12*C26*C27)</f>
        <v>0</v>
      </c>
      <c r="M14" s="19">
        <v>0</v>
      </c>
      <c r="N14" s="19">
        <v>1840</v>
      </c>
      <c r="O14" s="19">
        <v>0</v>
      </c>
    </row>
    <row r="15" spans="5:14" ht="15">
      <c r="E15" s="19" t="s">
        <v>63</v>
      </c>
      <c r="F15" s="19">
        <f>ROUND(IF(rapfam&gt;=1,0,IF(rapfam&lt;=0,0,rapfam*F14)),0)</f>
        <v>0</v>
      </c>
      <c r="H15" s="23" t="s">
        <v>67</v>
      </c>
      <c r="I15" s="23">
        <f>'[1]Irpef 2005-06'!I13</f>
        <v>2652</v>
      </c>
      <c r="M15" s="19">
        <v>8000.01</v>
      </c>
      <c r="N15" s="19">
        <f>ROUND(1338+(502*((15000-C16)/7000)),0)</f>
        <v>924</v>
      </c>
    </row>
    <row r="16" spans="2:14" ht="15">
      <c r="B16" s="19" t="s">
        <v>68</v>
      </c>
      <c r="C16" s="19">
        <f>SUM(C3:C15)</f>
        <v>20770</v>
      </c>
      <c r="E16" s="19" t="s">
        <v>69</v>
      </c>
      <c r="F16" s="19">
        <f>IF(F22&gt;3,C28*1070/12*C29*C30,C28*870/12*C29*C30)</f>
        <v>0</v>
      </c>
      <c r="H16" s="21"/>
      <c r="I16" s="21"/>
      <c r="M16" s="19">
        <v>15000.01</v>
      </c>
      <c r="N16" s="19">
        <f>ROUND(1338*(55000-C16)/40000,0)</f>
        <v>1145</v>
      </c>
    </row>
    <row r="17" spans="5:14" ht="15">
      <c r="E17" s="19" t="s">
        <v>63</v>
      </c>
      <c r="F17" s="19">
        <f>ROUND(IF(rapfam&gt;=1,0,IF(rapfam&lt;=0,0,rapfam*F16)),0)</f>
        <v>0</v>
      </c>
      <c r="H17" s="27" t="s">
        <v>50</v>
      </c>
      <c r="I17" s="27">
        <f>F30-I15</f>
        <v>-331</v>
      </c>
      <c r="M17" s="19">
        <v>55000.01</v>
      </c>
      <c r="N17" s="19">
        <v>0</v>
      </c>
    </row>
    <row r="18" spans="2:6" ht="15">
      <c r="B18" s="19" t="s">
        <v>70</v>
      </c>
      <c r="C18" s="33"/>
      <c r="E18" s="19" t="s">
        <v>71</v>
      </c>
      <c r="F18" s="19">
        <f>IF(F22&gt;3,C31*1170/12*C32*C33,C31*970/12*C32*C33)</f>
        <v>0</v>
      </c>
    </row>
    <row r="19" spans="5:13" ht="15">
      <c r="E19" s="19" t="s">
        <v>63</v>
      </c>
      <c r="F19" s="19">
        <f>ROUND(IF(rapfam&gt;=1,0,IF(rapfam&lt;=0,0,rapfam*F18)),0)</f>
        <v>0</v>
      </c>
      <c r="M19" s="19" t="s">
        <v>72</v>
      </c>
    </row>
    <row r="20" spans="2:15" ht="15">
      <c r="B20" s="19" t="s">
        <v>73</v>
      </c>
      <c r="C20" s="38" t="str">
        <f>Foglio1!N16</f>
        <v>N</v>
      </c>
      <c r="E20" s="19" t="s">
        <v>74</v>
      </c>
      <c r="F20" s="31">
        <f>IF(C34&gt;0,750/12*C35*C36,0)</f>
        <v>0</v>
      </c>
      <c r="M20" s="19">
        <v>0</v>
      </c>
      <c r="N20" s="19">
        <v>0</v>
      </c>
      <c r="O20" s="19" t="s">
        <v>64</v>
      </c>
    </row>
    <row r="21" spans="2:15" ht="15">
      <c r="B21" s="19" t="s">
        <v>75</v>
      </c>
      <c r="C21" s="39">
        <f>Foglio1!N17</f>
        <v>0</v>
      </c>
      <c r="E21" s="19" t="s">
        <v>63</v>
      </c>
      <c r="F21" s="19">
        <f>ROUND(IF(rapcon&gt;=1,0,IF(rapcon&lt;=0,0,rapcon*F20)),0)</f>
        <v>0</v>
      </c>
      <c r="M21" s="19">
        <v>0</v>
      </c>
      <c r="N21" s="19">
        <v>1725</v>
      </c>
      <c r="O21" s="19">
        <f>IF(dipe&gt;0,O14,IF(pensio&gt;0,O14,0))</f>
        <v>0</v>
      </c>
    </row>
    <row r="22" spans="2:14" ht="15">
      <c r="B22" s="19" t="s">
        <v>76</v>
      </c>
      <c r="C22" s="38">
        <f>Foglio1!N18</f>
        <v>0</v>
      </c>
      <c r="E22" s="25" t="s">
        <v>77</v>
      </c>
      <c r="F22" s="33">
        <f>C22+C25+C28+C31</f>
        <v>0</v>
      </c>
      <c r="M22" s="19">
        <v>7500.01</v>
      </c>
      <c r="N22" s="19">
        <f>ROUND(1225+(470*((15000-C16)/7500)),0)</f>
        <v>863</v>
      </c>
    </row>
    <row r="23" spans="2:14" ht="15">
      <c r="B23" s="19" t="s">
        <v>75</v>
      </c>
      <c r="C23" s="39">
        <f>Foglio1!N19</f>
        <v>0</v>
      </c>
      <c r="E23" s="25" t="s">
        <v>78</v>
      </c>
      <c r="F23" s="19">
        <f>IF(F22=1,95000,(F22-1)*15000+95000)</f>
        <v>80000</v>
      </c>
      <c r="M23" s="19">
        <v>15000.01</v>
      </c>
      <c r="N23" s="19">
        <f>ROUND(1225*(55000-C16)/40000,0)</f>
        <v>1048</v>
      </c>
    </row>
    <row r="24" spans="2:14" ht="15">
      <c r="B24" s="19" t="s">
        <v>79</v>
      </c>
      <c r="C24" s="40">
        <f>Foglio1!N20</f>
        <v>0</v>
      </c>
      <c r="E24" s="19" t="s">
        <v>54</v>
      </c>
      <c r="F24" s="28">
        <f>(nummag-C16)/nummag</f>
        <v>0.740375</v>
      </c>
      <c r="M24" s="19">
        <v>55000.01</v>
      </c>
      <c r="N24" s="19">
        <v>0</v>
      </c>
    </row>
    <row r="25" spans="2:6" ht="15">
      <c r="B25" s="19" t="s">
        <v>80</v>
      </c>
      <c r="C25" s="32">
        <v>0</v>
      </c>
      <c r="E25" s="19" t="s">
        <v>81</v>
      </c>
      <c r="F25" s="27">
        <f>F10+F13+F15+F17+F19+F21</f>
        <v>0</v>
      </c>
    </row>
    <row r="26" spans="2:3" ht="15">
      <c r="B26" s="19" t="s">
        <v>75</v>
      </c>
      <c r="C26" s="32">
        <v>0</v>
      </c>
    </row>
    <row r="27" spans="2:15" ht="15">
      <c r="B27" s="19" t="s">
        <v>79</v>
      </c>
      <c r="C27" s="34">
        <v>0</v>
      </c>
      <c r="E27" s="19" t="s">
        <v>82</v>
      </c>
      <c r="F27" s="19">
        <f>IF(O21&gt;O27,O21,O27)</f>
        <v>0</v>
      </c>
      <c r="M27" s="19" t="s">
        <v>82</v>
      </c>
      <c r="O27" s="19">
        <f>ROUND(IF(dipe&gt;0,VLOOKUP(dipe,detraz,2)*C18/365,IF(pensio&gt;0,VLOOKUP(pensio,detrpensio,2)*C18/365,0)),0)</f>
        <v>0</v>
      </c>
    </row>
    <row r="28" spans="2:6" ht="15">
      <c r="B28" s="19" t="s">
        <v>83</v>
      </c>
      <c r="C28" s="32">
        <v>0</v>
      </c>
      <c r="E28" s="19" t="s">
        <v>84</v>
      </c>
      <c r="F28" s="19">
        <f>IF(F27&gt;0,0,IF(autimpe&gt;0,VLOOKUP(autimpe,detrauto,2),0))</f>
        <v>885</v>
      </c>
    </row>
    <row r="29" spans="2:3" ht="15">
      <c r="B29" s="19" t="s">
        <v>75</v>
      </c>
      <c r="C29" s="32">
        <v>0</v>
      </c>
    </row>
    <row r="30" spans="2:13" ht="15">
      <c r="B30" s="19" t="s">
        <v>79</v>
      </c>
      <c r="C30" s="34">
        <v>0</v>
      </c>
      <c r="E30" s="35" t="s">
        <v>85</v>
      </c>
      <c r="F30" s="35">
        <f>IF(F6-F25-F27&gt;0,F6-F25-F27-F28,0)</f>
        <v>2321</v>
      </c>
      <c r="M30" s="19" t="s">
        <v>86</v>
      </c>
    </row>
    <row r="31" spans="2:14" ht="15">
      <c r="B31" s="19" t="s">
        <v>87</v>
      </c>
      <c r="C31" s="32">
        <v>0</v>
      </c>
      <c r="M31" s="19">
        <v>0</v>
      </c>
      <c r="N31" s="19">
        <v>0</v>
      </c>
    </row>
    <row r="32" spans="2:14" ht="15">
      <c r="B32" s="19" t="s">
        <v>75</v>
      </c>
      <c r="C32" s="32">
        <v>0</v>
      </c>
      <c r="M32" s="19">
        <v>0</v>
      </c>
      <c r="N32" s="19">
        <v>1104</v>
      </c>
    </row>
    <row r="33" spans="2:14" ht="15.75">
      <c r="B33" s="19" t="s">
        <v>79</v>
      </c>
      <c r="C33" s="34">
        <v>0</v>
      </c>
      <c r="E33" s="15" t="s">
        <v>33</v>
      </c>
      <c r="M33" s="19">
        <v>4800.01</v>
      </c>
      <c r="N33" s="19">
        <f>ROUND(1104*(55000-C16)/50200,0)</f>
        <v>753</v>
      </c>
    </row>
    <row r="34" spans="2:14" ht="15">
      <c r="B34" s="19" t="s">
        <v>88</v>
      </c>
      <c r="C34" s="36">
        <v>0</v>
      </c>
      <c r="E34" s="16" t="s">
        <v>34</v>
      </c>
      <c r="M34" s="19">
        <v>55000.01</v>
      </c>
      <c r="N34" s="19">
        <v>0</v>
      </c>
    </row>
    <row r="35" spans="2:3" ht="15">
      <c r="B35" s="19" t="s">
        <v>75</v>
      </c>
      <c r="C35" s="36">
        <v>0</v>
      </c>
    </row>
    <row r="36" spans="2:13" ht="15">
      <c r="B36" s="19" t="s">
        <v>79</v>
      </c>
      <c r="C36" s="34">
        <v>0</v>
      </c>
      <c r="M36" s="19">
        <f>C7+C8+C11+C12+C13</f>
        <v>20770</v>
      </c>
    </row>
  </sheetData>
  <sheetProtection password="CC98" sheet="1" objects="1" scenarios="1"/>
  <hyperlinks>
    <hyperlink ref="E34" r:id="rId1" display="www.simonini.biz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4.7109375" style="19" customWidth="1"/>
    <col min="2" max="2" width="23.8515625" style="19" bestFit="1" customWidth="1"/>
    <col min="3" max="3" width="12.8515625" style="19" bestFit="1" customWidth="1"/>
    <col min="4" max="4" width="4.421875" style="19" customWidth="1"/>
    <col min="5" max="5" width="24.00390625" style="19" bestFit="1" customWidth="1"/>
    <col min="6" max="6" width="12.8515625" style="19" bestFit="1" customWidth="1"/>
    <col min="7" max="7" width="3.8515625" style="19" hidden="1" customWidth="1"/>
    <col min="8" max="8" width="16.8515625" style="19" hidden="1" customWidth="1"/>
    <col min="9" max="9" width="11.8515625" style="19" hidden="1" customWidth="1"/>
    <col min="10" max="10" width="9.28125" style="19" hidden="1" customWidth="1"/>
    <col min="11" max="12" width="0" style="19" hidden="1" customWidth="1"/>
    <col min="13" max="13" width="11.8515625" style="19" bestFit="1" customWidth="1"/>
    <col min="14" max="14" width="12.8515625" style="19" bestFit="1" customWidth="1"/>
    <col min="15" max="15" width="11.8515625" style="19" bestFit="1" customWidth="1"/>
    <col min="16" max="16384" width="9.140625" style="19" customWidth="1"/>
  </cols>
  <sheetData>
    <row r="1" spans="1:6" ht="16.5">
      <c r="A1" s="17" t="s">
        <v>37</v>
      </c>
      <c r="B1" s="18"/>
      <c r="E1" s="20"/>
      <c r="F1" s="21"/>
    </row>
    <row r="2" spans="5:6" ht="15">
      <c r="E2" s="19" t="s">
        <v>38</v>
      </c>
      <c r="F2" s="19">
        <f>Foglio1!I34</f>
        <v>5550</v>
      </c>
    </row>
    <row r="3" spans="2:15" ht="15">
      <c r="B3" s="19" t="s">
        <v>39</v>
      </c>
      <c r="C3" s="19">
        <v>0</v>
      </c>
      <c r="M3" s="19" t="s">
        <v>40</v>
      </c>
      <c r="N3" s="19" t="s">
        <v>41</v>
      </c>
      <c r="O3" s="19" t="s">
        <v>42</v>
      </c>
    </row>
    <row r="4" spans="2:6" ht="15">
      <c r="B4" s="19" t="s">
        <v>43</v>
      </c>
      <c r="E4" s="19" t="s">
        <v>44</v>
      </c>
      <c r="F4" s="19">
        <f>C16-F2</f>
        <v>15220</v>
      </c>
    </row>
    <row r="5" spans="2:15" ht="15">
      <c r="B5" s="19" t="s">
        <v>45</v>
      </c>
      <c r="E5" s="21"/>
      <c r="F5" s="21"/>
      <c r="H5" s="23" t="s">
        <v>46</v>
      </c>
      <c r="I5" s="23">
        <f>'[1]Irpef 2005-06'!I3</f>
        <v>2523</v>
      </c>
      <c r="M5" s="19">
        <v>15000</v>
      </c>
      <c r="N5" s="24">
        <v>0.23</v>
      </c>
      <c r="O5" s="19">
        <f>M5*N5</f>
        <v>3450</v>
      </c>
    </row>
    <row r="6" spans="2:15" ht="15">
      <c r="B6" s="25" t="s">
        <v>47</v>
      </c>
      <c r="E6" s="26" t="s">
        <v>48</v>
      </c>
      <c r="F6" s="26">
        <f>ROUND(IF(F4&lt;=M5,F4*N5,IF(F4&lt;=M6,(F4-M5)*N6+O5,IF(F4&lt;=M7,(F4-M6)*N7+O6,IF(F4&lt;=M8,(F4-M7)*N8+O7,(F4-M8)*N9+O8)))),0)</f>
        <v>3509</v>
      </c>
      <c r="H6" s="21"/>
      <c r="I6" s="21"/>
      <c r="M6" s="19">
        <v>28000</v>
      </c>
      <c r="N6" s="24">
        <v>0.27</v>
      </c>
      <c r="O6" s="19">
        <f>(M6-M5)*N6+O5</f>
        <v>6960</v>
      </c>
    </row>
    <row r="7" spans="2:15" ht="15">
      <c r="B7" s="19" t="s">
        <v>49</v>
      </c>
      <c r="H7" s="27" t="s">
        <v>50</v>
      </c>
      <c r="I7" s="27">
        <f>F30-I5</f>
        <v>101</v>
      </c>
      <c r="M7" s="19">
        <v>55000</v>
      </c>
      <c r="N7" s="24">
        <v>0.38</v>
      </c>
      <c r="O7" s="19">
        <f>(M7-M6)*N7+O6</f>
        <v>17220</v>
      </c>
    </row>
    <row r="8" spans="2:15" ht="15">
      <c r="B8" s="25" t="s">
        <v>51</v>
      </c>
      <c r="C8" s="19">
        <f>Foglio1!I35</f>
        <v>20770</v>
      </c>
      <c r="E8" s="19" t="s">
        <v>52</v>
      </c>
      <c r="F8" s="19">
        <f>IF(C20="s",800/12*C21,0)</f>
        <v>0</v>
      </c>
      <c r="M8" s="19">
        <v>75000</v>
      </c>
      <c r="N8" s="24">
        <v>0.41</v>
      </c>
      <c r="O8" s="19">
        <f>(M8-M7)*N8+O7</f>
        <v>25420</v>
      </c>
    </row>
    <row r="9" spans="2:14" ht="15">
      <c r="B9" s="19" t="s">
        <v>53</v>
      </c>
      <c r="E9" s="25" t="s">
        <v>54</v>
      </c>
      <c r="F9" s="28">
        <f>(80000-C16)/80000</f>
        <v>0.740375</v>
      </c>
      <c r="N9" s="24">
        <v>0.43</v>
      </c>
    </row>
    <row r="10" spans="2:9" ht="15">
      <c r="B10" s="25" t="s">
        <v>55</v>
      </c>
      <c r="C10" s="19">
        <v>0</v>
      </c>
      <c r="E10" s="19" t="s">
        <v>56</v>
      </c>
      <c r="F10" s="27">
        <f>ROUND(IF(F9&gt;=1,0,IF(F9&lt;=0,0,F8*F9)),0)</f>
        <v>0</v>
      </c>
      <c r="H10" s="23" t="s">
        <v>57</v>
      </c>
      <c r="I10" s="23">
        <f>'[1]Irpef 2005-06'!I8</f>
        <v>2523</v>
      </c>
    </row>
    <row r="11" spans="2:9" ht="15">
      <c r="B11" s="19" t="s">
        <v>58</v>
      </c>
      <c r="H11" s="21"/>
      <c r="I11" s="21"/>
    </row>
    <row r="12" spans="2:13" ht="15">
      <c r="B12" s="25" t="s">
        <v>59</v>
      </c>
      <c r="E12" s="19" t="s">
        <v>60</v>
      </c>
      <c r="F12" s="19">
        <f>IF(F22&gt;3,C22*1000/12*C23*C24,C22*800/12*C23*C24)</f>
        <v>0</v>
      </c>
      <c r="H12" s="27" t="s">
        <v>50</v>
      </c>
      <c r="I12" s="27">
        <f>F30-I10</f>
        <v>101</v>
      </c>
      <c r="M12" s="19" t="s">
        <v>61</v>
      </c>
    </row>
    <row r="13" spans="2:15" ht="15">
      <c r="B13" s="19" t="s">
        <v>62</v>
      </c>
      <c r="E13" s="19" t="s">
        <v>63</v>
      </c>
      <c r="F13" s="19">
        <f>ROUND(IF(rapfam&gt;=1,0,IF(rapfam&lt;=0,0,rapfam*F12)),0)</f>
        <v>0</v>
      </c>
      <c r="M13" s="19">
        <v>0</v>
      </c>
      <c r="N13" s="19">
        <v>0</v>
      </c>
      <c r="O13" s="19" t="s">
        <v>64</v>
      </c>
    </row>
    <row r="14" spans="2:15" ht="15">
      <c r="B14" s="19" t="s">
        <v>65</v>
      </c>
      <c r="C14" s="19">
        <v>0</v>
      </c>
      <c r="E14" s="19" t="s">
        <v>66</v>
      </c>
      <c r="F14" s="19">
        <f>IF(F22&gt;3,C25*1100/12*C26*C27,C25*900/12*C26*C27)</f>
        <v>0</v>
      </c>
      <c r="M14" s="19">
        <v>0</v>
      </c>
      <c r="N14" s="19">
        <v>1840</v>
      </c>
      <c r="O14" s="19">
        <v>0</v>
      </c>
    </row>
    <row r="15" spans="5:14" ht="15">
      <c r="E15" s="19" t="s">
        <v>63</v>
      </c>
      <c r="F15" s="19">
        <f>ROUND(IF(rapfam&gt;=1,0,IF(rapfam&lt;=0,0,rapfam*F14)),0)</f>
        <v>0</v>
      </c>
      <c r="H15" s="23" t="s">
        <v>67</v>
      </c>
      <c r="I15" s="23">
        <f>'[1]Irpef 2005-06'!I13</f>
        <v>2652</v>
      </c>
      <c r="M15" s="19">
        <v>8000.01</v>
      </c>
      <c r="N15" s="19">
        <f>ROUND(1338+(502*((15000-C16)/7000)),0)</f>
        <v>924</v>
      </c>
    </row>
    <row r="16" spans="2:14" ht="15">
      <c r="B16" s="19" t="s">
        <v>68</v>
      </c>
      <c r="C16" s="19">
        <f>SUM(C3:C15)</f>
        <v>20770</v>
      </c>
      <c r="E16" s="19" t="s">
        <v>69</v>
      </c>
      <c r="F16" s="19">
        <f>IF(F22&gt;3,C28*1070/12*C29*C30,C28*870/12*C29*C30)</f>
        <v>0</v>
      </c>
      <c r="H16" s="21"/>
      <c r="I16" s="21"/>
      <c r="M16" s="19">
        <v>15000.01</v>
      </c>
      <c r="N16" s="19">
        <f>ROUND(1338*(55000-C16)/40000,0)</f>
        <v>1145</v>
      </c>
    </row>
    <row r="17" spans="5:14" ht="15">
      <c r="E17" s="19" t="s">
        <v>63</v>
      </c>
      <c r="F17" s="19">
        <f>ROUND(IF(rapfam&gt;=1,0,IF(rapfam&lt;=0,0,rapfam*F16)),0)</f>
        <v>0</v>
      </c>
      <c r="H17" s="27" t="s">
        <v>50</v>
      </c>
      <c r="I17" s="27">
        <f>F30-I15</f>
        <v>-28</v>
      </c>
      <c r="M17" s="19">
        <v>55000.01</v>
      </c>
      <c r="N17" s="19">
        <v>0</v>
      </c>
    </row>
    <row r="18" spans="2:6" ht="15">
      <c r="B18" s="19" t="s">
        <v>70</v>
      </c>
      <c r="C18" s="33"/>
      <c r="E18" s="19" t="s">
        <v>71</v>
      </c>
      <c r="F18" s="19">
        <f>IF(F22&gt;3,C31*1170/12*C32*C33,C31*970/12*C32*C33)</f>
        <v>0</v>
      </c>
    </row>
    <row r="19" spans="5:13" ht="15">
      <c r="E19" s="19" t="s">
        <v>63</v>
      </c>
      <c r="F19" s="19">
        <f>ROUND(IF(rapfam&gt;=1,0,IF(rapfam&lt;=0,0,rapfam*F18)),0)</f>
        <v>0</v>
      </c>
      <c r="M19" s="19" t="s">
        <v>72</v>
      </c>
    </row>
    <row r="20" spans="2:15" ht="15">
      <c r="B20" s="19" t="s">
        <v>73</v>
      </c>
      <c r="C20" s="38" t="str">
        <f>Foglio1!N16</f>
        <v>N</v>
      </c>
      <c r="E20" s="19" t="s">
        <v>74</v>
      </c>
      <c r="F20" s="31">
        <f>IF(C34&gt;0,750/12*C35*C36,0)</f>
        <v>0</v>
      </c>
      <c r="M20" s="19">
        <v>0</v>
      </c>
      <c r="N20" s="19">
        <v>0</v>
      </c>
      <c r="O20" s="19" t="s">
        <v>64</v>
      </c>
    </row>
    <row r="21" spans="2:15" ht="15">
      <c r="B21" s="19" t="s">
        <v>75</v>
      </c>
      <c r="C21" s="39">
        <f>Foglio1!N17</f>
        <v>0</v>
      </c>
      <c r="E21" s="19" t="s">
        <v>63</v>
      </c>
      <c r="F21" s="19">
        <f>ROUND(IF(rapcon&gt;=1,0,IF(rapcon&lt;=0,0,rapcon*F20)),0)</f>
        <v>0</v>
      </c>
      <c r="M21" s="19">
        <v>0</v>
      </c>
      <c r="N21" s="19">
        <v>1725</v>
      </c>
      <c r="O21" s="19">
        <f>IF(dipe&gt;0,O14,IF(pensio&gt;0,O14,0))</f>
        <v>0</v>
      </c>
    </row>
    <row r="22" spans="2:14" ht="15">
      <c r="B22" s="19" t="s">
        <v>76</v>
      </c>
      <c r="C22" s="38">
        <f>Foglio1!N18</f>
        <v>0</v>
      </c>
      <c r="E22" s="25" t="s">
        <v>77</v>
      </c>
      <c r="F22" s="33">
        <f>C22+C25+C28+C31</f>
        <v>0</v>
      </c>
      <c r="M22" s="19">
        <v>7500.01</v>
      </c>
      <c r="N22" s="19">
        <f>ROUND(1225+(470*((15000-C16)/7500)),0)</f>
        <v>863</v>
      </c>
    </row>
    <row r="23" spans="2:14" ht="15">
      <c r="B23" s="19" t="s">
        <v>75</v>
      </c>
      <c r="C23" s="39">
        <f>Foglio1!N19</f>
        <v>0</v>
      </c>
      <c r="E23" s="25" t="s">
        <v>78</v>
      </c>
      <c r="F23" s="19">
        <f>IF(F22=1,95000,(F22-1)*15000+95000)</f>
        <v>80000</v>
      </c>
      <c r="M23" s="19">
        <v>15000.01</v>
      </c>
      <c r="N23" s="19">
        <f>ROUND(1225*(55000-C16)/40000,0)</f>
        <v>1048</v>
      </c>
    </row>
    <row r="24" spans="2:14" ht="15">
      <c r="B24" s="19" t="s">
        <v>79</v>
      </c>
      <c r="C24" s="40">
        <f>Foglio1!N20</f>
        <v>0</v>
      </c>
      <c r="E24" s="19" t="s">
        <v>54</v>
      </c>
      <c r="F24" s="28">
        <f>(nummag-C16)/nummag</f>
        <v>0.740375</v>
      </c>
      <c r="M24" s="19">
        <v>55000.01</v>
      </c>
      <c r="N24" s="19">
        <v>0</v>
      </c>
    </row>
    <row r="25" spans="2:6" ht="15">
      <c r="B25" s="19" t="s">
        <v>80</v>
      </c>
      <c r="C25" s="32">
        <v>0</v>
      </c>
      <c r="E25" s="19" t="s">
        <v>81</v>
      </c>
      <c r="F25" s="27">
        <f>F10+F13+F15+F17+F19+F21</f>
        <v>0</v>
      </c>
    </row>
    <row r="26" spans="2:3" ht="15">
      <c r="B26" s="19" t="s">
        <v>75</v>
      </c>
      <c r="C26" s="32">
        <v>0</v>
      </c>
    </row>
    <row r="27" spans="2:15" ht="15">
      <c r="B27" s="19" t="s">
        <v>79</v>
      </c>
      <c r="C27" s="34">
        <v>0</v>
      </c>
      <c r="E27" s="19" t="s">
        <v>82</v>
      </c>
      <c r="F27" s="19">
        <f>IF(O21&gt;O27,O21,O27)</f>
        <v>0</v>
      </c>
      <c r="M27" s="19" t="s">
        <v>82</v>
      </c>
      <c r="O27" s="19">
        <f>ROUND(IF(dipe&gt;0,VLOOKUP(dipe,detraz,2)*C18/365,IF(pensio&gt;0,VLOOKUP(pensio,detrpensio,2)*C18/365,0)),0)</f>
        <v>0</v>
      </c>
    </row>
    <row r="28" spans="2:6" ht="15">
      <c r="B28" s="19" t="s">
        <v>83</v>
      </c>
      <c r="C28" s="32">
        <v>0</v>
      </c>
      <c r="E28" s="19" t="s">
        <v>84</v>
      </c>
      <c r="F28" s="19">
        <f>IF(F27&gt;0,0,IF(autimpe&gt;0,VLOOKUP(autimpe,detrauto,2),0))</f>
        <v>885</v>
      </c>
    </row>
    <row r="29" spans="2:3" ht="15">
      <c r="B29" s="19" t="s">
        <v>75</v>
      </c>
      <c r="C29" s="32">
        <v>0</v>
      </c>
    </row>
    <row r="30" spans="2:13" ht="15">
      <c r="B30" s="19" t="s">
        <v>79</v>
      </c>
      <c r="C30" s="34">
        <v>0</v>
      </c>
      <c r="E30" s="35" t="s">
        <v>85</v>
      </c>
      <c r="F30" s="35">
        <f>IF(F6-F25-F27&gt;0,F6-F25-F27-F28,0)</f>
        <v>2624</v>
      </c>
      <c r="M30" s="19" t="s">
        <v>86</v>
      </c>
    </row>
    <row r="31" spans="2:14" ht="15">
      <c r="B31" s="19" t="s">
        <v>87</v>
      </c>
      <c r="C31" s="32">
        <v>0</v>
      </c>
      <c r="M31" s="19">
        <v>0</v>
      </c>
      <c r="N31" s="19">
        <v>0</v>
      </c>
    </row>
    <row r="32" spans="2:14" ht="15">
      <c r="B32" s="19" t="s">
        <v>75</v>
      </c>
      <c r="C32" s="32">
        <v>0</v>
      </c>
      <c r="M32" s="19">
        <v>0</v>
      </c>
      <c r="N32" s="19">
        <v>1104</v>
      </c>
    </row>
    <row r="33" spans="2:14" ht="15.75">
      <c r="B33" s="19" t="s">
        <v>79</v>
      </c>
      <c r="C33" s="34">
        <v>0</v>
      </c>
      <c r="E33" s="15" t="s">
        <v>33</v>
      </c>
      <c r="M33" s="19">
        <v>4800.01</v>
      </c>
      <c r="N33" s="19">
        <f>ROUND(1104*(55000-C16)/50200,0)</f>
        <v>753</v>
      </c>
    </row>
    <row r="34" spans="2:14" ht="15">
      <c r="B34" s="19" t="s">
        <v>88</v>
      </c>
      <c r="C34" s="36">
        <v>0</v>
      </c>
      <c r="E34" s="16" t="s">
        <v>34</v>
      </c>
      <c r="M34" s="19">
        <v>55000.01</v>
      </c>
      <c r="N34" s="19">
        <v>0</v>
      </c>
    </row>
    <row r="35" spans="2:3" ht="15">
      <c r="B35" s="19" t="s">
        <v>75</v>
      </c>
      <c r="C35" s="36">
        <v>0</v>
      </c>
    </row>
    <row r="36" spans="2:13" ht="15">
      <c r="B36" s="19" t="s">
        <v>79</v>
      </c>
      <c r="C36" s="34">
        <v>0</v>
      </c>
      <c r="M36" s="19">
        <f>C7+C8+C11+C12+C13</f>
        <v>20770</v>
      </c>
    </row>
  </sheetData>
  <sheetProtection password="CC98" sheet="1" objects="1" scenarios="1"/>
  <hyperlinks>
    <hyperlink ref="E34" r:id="rId1" display="www.simonini.biz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4.7109375" style="19" customWidth="1"/>
    <col min="2" max="2" width="23.8515625" style="19" bestFit="1" customWidth="1"/>
    <col min="3" max="3" width="12.8515625" style="19" bestFit="1" customWidth="1"/>
    <col min="4" max="4" width="4.421875" style="19" customWidth="1"/>
    <col min="5" max="5" width="24.00390625" style="19" bestFit="1" customWidth="1"/>
    <col min="6" max="6" width="12.8515625" style="19" bestFit="1" customWidth="1"/>
    <col min="7" max="7" width="3.8515625" style="19" hidden="1" customWidth="1"/>
    <col min="8" max="8" width="16.8515625" style="19" hidden="1" customWidth="1"/>
    <col min="9" max="9" width="11.8515625" style="19" hidden="1" customWidth="1"/>
    <col min="10" max="10" width="9.28125" style="19" hidden="1" customWidth="1"/>
    <col min="11" max="12" width="0" style="19" hidden="1" customWidth="1"/>
    <col min="13" max="13" width="11.8515625" style="19" bestFit="1" customWidth="1"/>
    <col min="14" max="14" width="12.8515625" style="19" bestFit="1" customWidth="1"/>
    <col min="15" max="15" width="11.8515625" style="19" bestFit="1" customWidth="1"/>
    <col min="16" max="16384" width="9.140625" style="19" customWidth="1"/>
  </cols>
  <sheetData>
    <row r="1" spans="1:6" ht="16.5">
      <c r="A1" s="17" t="s">
        <v>37</v>
      </c>
      <c r="B1" s="18"/>
      <c r="E1" s="20"/>
      <c r="F1" s="21"/>
    </row>
    <row r="2" spans="5:6" ht="15">
      <c r="E2" s="19" t="s">
        <v>38</v>
      </c>
      <c r="F2" s="19">
        <f>Foglio1!J34</f>
        <v>5550</v>
      </c>
    </row>
    <row r="3" spans="2:15" ht="15">
      <c r="B3" s="19" t="s">
        <v>39</v>
      </c>
      <c r="C3" s="19">
        <v>0</v>
      </c>
      <c r="M3" s="19" t="s">
        <v>40</v>
      </c>
      <c r="N3" s="19" t="s">
        <v>41</v>
      </c>
      <c r="O3" s="19" t="s">
        <v>42</v>
      </c>
    </row>
    <row r="4" spans="2:6" ht="15">
      <c r="B4" s="19" t="s">
        <v>43</v>
      </c>
      <c r="E4" s="19" t="s">
        <v>44</v>
      </c>
      <c r="F4" s="19">
        <f>C16-F2</f>
        <v>15220</v>
      </c>
    </row>
    <row r="5" spans="2:15" ht="15">
      <c r="B5" s="19" t="s">
        <v>45</v>
      </c>
      <c r="E5" s="21"/>
      <c r="F5" s="21"/>
      <c r="H5" s="23" t="s">
        <v>46</v>
      </c>
      <c r="I5" s="23">
        <f>'[1]Irpef 2005-06'!I3</f>
        <v>2523</v>
      </c>
      <c r="M5" s="19">
        <v>15000</v>
      </c>
      <c r="N5" s="24">
        <v>0.23</v>
      </c>
      <c r="O5" s="19">
        <f>M5*N5</f>
        <v>3450</v>
      </c>
    </row>
    <row r="6" spans="2:15" ht="15">
      <c r="B6" s="25" t="s">
        <v>47</v>
      </c>
      <c r="E6" s="26" t="s">
        <v>48</v>
      </c>
      <c r="F6" s="26">
        <f>ROUND(IF(F4&lt;=M5,F4*N5,IF(F4&lt;=M6,(F4-M5)*N6+O5,IF(F4&lt;=M7,(F4-M6)*N7+O6,IF(F4&lt;=M8,(F4-M7)*N8+O7,(F4-M8)*N9+O8)))),0)</f>
        <v>3509</v>
      </c>
      <c r="H6" s="21"/>
      <c r="I6" s="21"/>
      <c r="M6" s="19">
        <v>28000</v>
      </c>
      <c r="N6" s="24">
        <v>0.27</v>
      </c>
      <c r="O6" s="19">
        <f>(M6-M5)*N6+O5</f>
        <v>6960</v>
      </c>
    </row>
    <row r="7" spans="2:15" ht="15">
      <c r="B7" s="19" t="s">
        <v>49</v>
      </c>
      <c r="H7" s="27" t="s">
        <v>50</v>
      </c>
      <c r="I7" s="27">
        <f>F30-I5</f>
        <v>101</v>
      </c>
      <c r="M7" s="19">
        <v>55000</v>
      </c>
      <c r="N7" s="24">
        <v>0.38</v>
      </c>
      <c r="O7" s="19">
        <f>(M7-M6)*N7+O6</f>
        <v>17220</v>
      </c>
    </row>
    <row r="8" spans="2:15" ht="15">
      <c r="B8" s="25" t="s">
        <v>51</v>
      </c>
      <c r="C8" s="19">
        <f>Foglio1!J35</f>
        <v>20770</v>
      </c>
      <c r="E8" s="19" t="s">
        <v>52</v>
      </c>
      <c r="F8" s="19">
        <f>IF(C20="s",800/12*C21,0)</f>
        <v>0</v>
      </c>
      <c r="M8" s="19">
        <v>75000</v>
      </c>
      <c r="N8" s="24">
        <v>0.41</v>
      </c>
      <c r="O8" s="19">
        <f>(M8-M7)*N8+O7</f>
        <v>25420</v>
      </c>
    </row>
    <row r="9" spans="2:14" ht="15">
      <c r="B9" s="19" t="s">
        <v>53</v>
      </c>
      <c r="E9" s="25" t="s">
        <v>54</v>
      </c>
      <c r="F9" s="28">
        <f>(80000-C16)/80000</f>
        <v>0.740375</v>
      </c>
      <c r="N9" s="24">
        <v>0.43</v>
      </c>
    </row>
    <row r="10" spans="2:9" ht="15">
      <c r="B10" s="25" t="s">
        <v>55</v>
      </c>
      <c r="C10" s="19">
        <v>0</v>
      </c>
      <c r="E10" s="19" t="s">
        <v>56</v>
      </c>
      <c r="F10" s="27">
        <f>ROUND(IF(F9&gt;=1,0,IF(F9&lt;=0,0,F8*F9)),0)</f>
        <v>0</v>
      </c>
      <c r="H10" s="23" t="s">
        <v>57</v>
      </c>
      <c r="I10" s="23">
        <f>'[1]Irpef 2005-06'!I8</f>
        <v>2523</v>
      </c>
    </row>
    <row r="11" spans="2:9" ht="15">
      <c r="B11" s="19" t="s">
        <v>58</v>
      </c>
      <c r="H11" s="21"/>
      <c r="I11" s="21"/>
    </row>
    <row r="12" spans="2:13" ht="15">
      <c r="B12" s="25" t="s">
        <v>59</v>
      </c>
      <c r="E12" s="19" t="s">
        <v>60</v>
      </c>
      <c r="F12" s="19">
        <f>IF(F22&gt;3,C22*1000/12*C23*C24,C22*800/12*C23*C24)</f>
        <v>0</v>
      </c>
      <c r="H12" s="27" t="s">
        <v>50</v>
      </c>
      <c r="I12" s="27">
        <f>F30-I10</f>
        <v>101</v>
      </c>
      <c r="M12" s="19" t="s">
        <v>61</v>
      </c>
    </row>
    <row r="13" spans="2:15" ht="15">
      <c r="B13" s="19" t="s">
        <v>62</v>
      </c>
      <c r="E13" s="19" t="s">
        <v>63</v>
      </c>
      <c r="F13" s="19">
        <f>ROUND(IF(rapfam&gt;=1,0,IF(rapfam&lt;=0,0,rapfam*F12)),0)</f>
        <v>0</v>
      </c>
      <c r="M13" s="19">
        <v>0</v>
      </c>
      <c r="N13" s="19">
        <v>0</v>
      </c>
      <c r="O13" s="19" t="s">
        <v>64</v>
      </c>
    </row>
    <row r="14" spans="2:15" ht="15">
      <c r="B14" s="19" t="s">
        <v>65</v>
      </c>
      <c r="C14" s="19">
        <v>0</v>
      </c>
      <c r="E14" s="19" t="s">
        <v>66</v>
      </c>
      <c r="F14" s="19">
        <f>IF(F22&gt;3,C25*1100/12*C26*C27,C25*900/12*C26*C27)</f>
        <v>0</v>
      </c>
      <c r="M14" s="19">
        <v>0</v>
      </c>
      <c r="N14" s="19">
        <v>1840</v>
      </c>
      <c r="O14" s="19">
        <v>0</v>
      </c>
    </row>
    <row r="15" spans="5:14" ht="15">
      <c r="E15" s="19" t="s">
        <v>63</v>
      </c>
      <c r="F15" s="19">
        <f>ROUND(IF(rapfam&gt;=1,0,IF(rapfam&lt;=0,0,rapfam*F14)),0)</f>
        <v>0</v>
      </c>
      <c r="H15" s="23" t="s">
        <v>67</v>
      </c>
      <c r="I15" s="23">
        <f>'[1]Irpef 2005-06'!I13</f>
        <v>2652</v>
      </c>
      <c r="M15" s="19">
        <v>8000.01</v>
      </c>
      <c r="N15" s="19">
        <f>ROUND(1338+(502*((15000-C16)/7000)),0)</f>
        <v>924</v>
      </c>
    </row>
    <row r="16" spans="2:14" ht="15">
      <c r="B16" s="19" t="s">
        <v>68</v>
      </c>
      <c r="C16" s="19">
        <f>SUM(C3:C15)</f>
        <v>20770</v>
      </c>
      <c r="E16" s="19" t="s">
        <v>69</v>
      </c>
      <c r="F16" s="19">
        <f>IF(F22&gt;3,C28*1070/12*C29*C30,C28*870/12*C29*C30)</f>
        <v>0</v>
      </c>
      <c r="H16" s="21"/>
      <c r="I16" s="21"/>
      <c r="M16" s="19">
        <v>15000.01</v>
      </c>
      <c r="N16" s="19">
        <f>ROUND(1338*(55000-C16)/40000,0)</f>
        <v>1145</v>
      </c>
    </row>
    <row r="17" spans="5:14" ht="15">
      <c r="E17" s="19" t="s">
        <v>63</v>
      </c>
      <c r="F17" s="19">
        <f>ROUND(IF(rapfam&gt;=1,0,IF(rapfam&lt;=0,0,rapfam*F16)),0)</f>
        <v>0</v>
      </c>
      <c r="H17" s="27" t="s">
        <v>50</v>
      </c>
      <c r="I17" s="27">
        <f>F30-I15</f>
        <v>-28</v>
      </c>
      <c r="M17" s="19">
        <v>55000.01</v>
      </c>
      <c r="N17" s="19">
        <v>0</v>
      </c>
    </row>
    <row r="18" spans="2:6" ht="15">
      <c r="B18" s="19" t="s">
        <v>70</v>
      </c>
      <c r="C18" s="33"/>
      <c r="E18" s="19" t="s">
        <v>71</v>
      </c>
      <c r="F18" s="19">
        <f>IF(F22&gt;3,C31*1170/12*C32*C33,C31*970/12*C32*C33)</f>
        <v>0</v>
      </c>
    </row>
    <row r="19" spans="5:13" ht="15">
      <c r="E19" s="19" t="s">
        <v>63</v>
      </c>
      <c r="F19" s="19">
        <f>ROUND(IF(rapfam&gt;=1,0,IF(rapfam&lt;=0,0,rapfam*F18)),0)</f>
        <v>0</v>
      </c>
      <c r="M19" s="19" t="s">
        <v>72</v>
      </c>
    </row>
    <row r="20" spans="2:15" ht="15">
      <c r="B20" s="19" t="s">
        <v>73</v>
      </c>
      <c r="C20" s="38" t="str">
        <f>Foglio1!N16</f>
        <v>N</v>
      </c>
      <c r="E20" s="19" t="s">
        <v>74</v>
      </c>
      <c r="F20" s="31">
        <f>IF(C34&gt;0,750/12*C35*C36,0)</f>
        <v>0</v>
      </c>
      <c r="M20" s="19">
        <v>0</v>
      </c>
      <c r="N20" s="19">
        <v>0</v>
      </c>
      <c r="O20" s="19" t="s">
        <v>64</v>
      </c>
    </row>
    <row r="21" spans="2:15" ht="15">
      <c r="B21" s="19" t="s">
        <v>75</v>
      </c>
      <c r="C21" s="39">
        <f>Foglio1!N17</f>
        <v>0</v>
      </c>
      <c r="E21" s="19" t="s">
        <v>63</v>
      </c>
      <c r="F21" s="19">
        <f>ROUND(IF(rapcon&gt;=1,0,IF(rapcon&lt;=0,0,rapcon*F20)),0)</f>
        <v>0</v>
      </c>
      <c r="M21" s="19">
        <v>0</v>
      </c>
      <c r="N21" s="19">
        <v>1725</v>
      </c>
      <c r="O21" s="19">
        <f>IF(dipe&gt;0,O14,IF(pensio&gt;0,O14,0))</f>
        <v>0</v>
      </c>
    </row>
    <row r="22" spans="2:14" ht="15">
      <c r="B22" s="19" t="s">
        <v>76</v>
      </c>
      <c r="C22" s="38">
        <f>Foglio1!N18</f>
        <v>0</v>
      </c>
      <c r="E22" s="25" t="s">
        <v>77</v>
      </c>
      <c r="F22" s="33">
        <f>C22+C25+C28+C31</f>
        <v>0</v>
      </c>
      <c r="M22" s="19">
        <v>7500.01</v>
      </c>
      <c r="N22" s="19">
        <f>ROUND(1225+(470*((15000-C16)/7500)),0)</f>
        <v>863</v>
      </c>
    </row>
    <row r="23" spans="2:14" ht="15">
      <c r="B23" s="19" t="s">
        <v>75</v>
      </c>
      <c r="C23" s="39">
        <f>Foglio1!N19</f>
        <v>0</v>
      </c>
      <c r="E23" s="25" t="s">
        <v>78</v>
      </c>
      <c r="F23" s="19">
        <f>IF(F22=1,95000,(F22-1)*15000+95000)</f>
        <v>80000</v>
      </c>
      <c r="M23" s="19">
        <v>15000.01</v>
      </c>
      <c r="N23" s="19">
        <f>ROUND(1225*(55000-C16)/40000,0)</f>
        <v>1048</v>
      </c>
    </row>
    <row r="24" spans="2:14" ht="15">
      <c r="B24" s="19" t="s">
        <v>79</v>
      </c>
      <c r="C24" s="40">
        <f>Foglio1!N20</f>
        <v>0</v>
      </c>
      <c r="E24" s="19" t="s">
        <v>54</v>
      </c>
      <c r="F24" s="28">
        <f>(nummag-C16)/nummag</f>
        <v>0.740375</v>
      </c>
      <c r="M24" s="19">
        <v>55000.01</v>
      </c>
      <c r="N24" s="19">
        <v>0</v>
      </c>
    </row>
    <row r="25" spans="2:6" ht="15">
      <c r="B25" s="19" t="s">
        <v>80</v>
      </c>
      <c r="C25" s="32">
        <v>0</v>
      </c>
      <c r="E25" s="19" t="s">
        <v>81</v>
      </c>
      <c r="F25" s="27">
        <f>F10+F13+F15+F17+F19+F21</f>
        <v>0</v>
      </c>
    </row>
    <row r="26" spans="2:3" ht="15">
      <c r="B26" s="19" t="s">
        <v>75</v>
      </c>
      <c r="C26" s="32">
        <v>0</v>
      </c>
    </row>
    <row r="27" spans="2:15" ht="15">
      <c r="B27" s="19" t="s">
        <v>79</v>
      </c>
      <c r="C27" s="34">
        <v>0</v>
      </c>
      <c r="E27" s="19" t="s">
        <v>82</v>
      </c>
      <c r="F27" s="19">
        <f>IF(O21&gt;O27,O21,O27)</f>
        <v>0</v>
      </c>
      <c r="M27" s="19" t="s">
        <v>82</v>
      </c>
      <c r="O27" s="19">
        <f>ROUND(IF(dipe&gt;0,VLOOKUP(dipe,detraz,2)*C18/365,IF(pensio&gt;0,VLOOKUP(pensio,detrpensio,2)*C18/365,0)),0)</f>
        <v>0</v>
      </c>
    </row>
    <row r="28" spans="2:6" ht="15">
      <c r="B28" s="19" t="s">
        <v>83</v>
      </c>
      <c r="C28" s="32">
        <v>0</v>
      </c>
      <c r="E28" s="19" t="s">
        <v>84</v>
      </c>
      <c r="F28" s="19">
        <f>IF(F27&gt;0,0,IF(autimpe&gt;0,VLOOKUP(autimpe,detrauto,2),0))</f>
        <v>885</v>
      </c>
    </row>
    <row r="29" spans="2:3" ht="15">
      <c r="B29" s="19" t="s">
        <v>75</v>
      </c>
      <c r="C29" s="32">
        <v>0</v>
      </c>
    </row>
    <row r="30" spans="2:13" ht="15">
      <c r="B30" s="19" t="s">
        <v>79</v>
      </c>
      <c r="C30" s="34">
        <v>0</v>
      </c>
      <c r="E30" s="35" t="s">
        <v>85</v>
      </c>
      <c r="F30" s="35">
        <f>IF(F6-F25-F27&gt;0,F6-F25-F27-F28,0)</f>
        <v>2624</v>
      </c>
      <c r="M30" s="19" t="s">
        <v>86</v>
      </c>
    </row>
    <row r="31" spans="2:14" ht="15">
      <c r="B31" s="19" t="s">
        <v>87</v>
      </c>
      <c r="C31" s="32">
        <v>0</v>
      </c>
      <c r="M31" s="19">
        <v>0</v>
      </c>
      <c r="N31" s="19">
        <v>0</v>
      </c>
    </row>
    <row r="32" spans="2:14" ht="15">
      <c r="B32" s="19" t="s">
        <v>75</v>
      </c>
      <c r="C32" s="32">
        <v>0</v>
      </c>
      <c r="M32" s="19">
        <v>0</v>
      </c>
      <c r="N32" s="19">
        <v>1104</v>
      </c>
    </row>
    <row r="33" spans="2:14" ht="15.75">
      <c r="B33" s="19" t="s">
        <v>79</v>
      </c>
      <c r="C33" s="34">
        <v>0</v>
      </c>
      <c r="E33" s="15" t="s">
        <v>33</v>
      </c>
      <c r="M33" s="19">
        <v>4800.01</v>
      </c>
      <c r="N33" s="19">
        <f>ROUND(1104*(55000-C16)/50200,0)</f>
        <v>753</v>
      </c>
    </row>
    <row r="34" spans="2:14" ht="15">
      <c r="B34" s="19" t="s">
        <v>88</v>
      </c>
      <c r="C34" s="36">
        <v>0</v>
      </c>
      <c r="E34" s="16" t="s">
        <v>34</v>
      </c>
      <c r="M34" s="19">
        <v>55000.01</v>
      </c>
      <c r="N34" s="19">
        <v>0</v>
      </c>
    </row>
    <row r="35" spans="2:3" ht="15">
      <c r="B35" s="19" t="s">
        <v>75</v>
      </c>
      <c r="C35" s="36">
        <v>0</v>
      </c>
    </row>
    <row r="36" spans="2:13" ht="15">
      <c r="B36" s="19" t="s">
        <v>79</v>
      </c>
      <c r="C36" s="34">
        <v>0</v>
      </c>
      <c r="M36" s="19">
        <f>C7+C8+C11+C12+C13</f>
        <v>20770</v>
      </c>
    </row>
  </sheetData>
  <sheetProtection password="CC98" sheet="1" objects="1" scenarios="1"/>
  <hyperlinks>
    <hyperlink ref="E34" r:id="rId1" display="www.simonini.biz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4.7109375" style="19" customWidth="1"/>
    <col min="2" max="2" width="23.8515625" style="19" bestFit="1" customWidth="1"/>
    <col min="3" max="3" width="12.8515625" style="19" bestFit="1" customWidth="1"/>
    <col min="4" max="4" width="4.421875" style="19" customWidth="1"/>
    <col min="5" max="5" width="24.00390625" style="19" bestFit="1" customWidth="1"/>
    <col min="6" max="6" width="12.8515625" style="19" bestFit="1" customWidth="1"/>
    <col min="7" max="7" width="3.8515625" style="19" hidden="1" customWidth="1"/>
    <col min="8" max="8" width="16.8515625" style="19" hidden="1" customWidth="1"/>
    <col min="9" max="9" width="11.8515625" style="19" hidden="1" customWidth="1"/>
    <col min="10" max="10" width="9.28125" style="19" hidden="1" customWidth="1"/>
    <col min="11" max="12" width="0" style="19" hidden="1" customWidth="1"/>
    <col min="13" max="13" width="11.8515625" style="19" bestFit="1" customWidth="1"/>
    <col min="14" max="14" width="12.8515625" style="19" bestFit="1" customWidth="1"/>
    <col min="15" max="15" width="11.8515625" style="19" bestFit="1" customWidth="1"/>
    <col min="16" max="16384" width="9.140625" style="19" customWidth="1"/>
  </cols>
  <sheetData>
    <row r="1" spans="1:6" ht="16.5">
      <c r="A1" s="17" t="s">
        <v>37</v>
      </c>
      <c r="B1" s="18"/>
      <c r="E1" s="20"/>
      <c r="F1" s="21"/>
    </row>
    <row r="2" spans="5:6" ht="15">
      <c r="E2" s="19" t="s">
        <v>38</v>
      </c>
      <c r="F2" s="19">
        <f>Foglio1!K34</f>
        <v>5550</v>
      </c>
    </row>
    <row r="3" spans="2:15" ht="15">
      <c r="B3" s="19" t="s">
        <v>39</v>
      </c>
      <c r="C3" s="19">
        <v>0</v>
      </c>
      <c r="M3" s="19" t="s">
        <v>40</v>
      </c>
      <c r="N3" s="19" t="s">
        <v>41</v>
      </c>
      <c r="O3" s="19" t="s">
        <v>42</v>
      </c>
    </row>
    <row r="4" spans="2:6" ht="15">
      <c r="B4" s="19" t="s">
        <v>43</v>
      </c>
      <c r="E4" s="19" t="s">
        <v>44</v>
      </c>
      <c r="F4" s="19">
        <f>C16-F2</f>
        <v>15220</v>
      </c>
    </row>
    <row r="5" spans="2:15" ht="15">
      <c r="B5" s="19" t="s">
        <v>45</v>
      </c>
      <c r="E5" s="21"/>
      <c r="F5" s="21"/>
      <c r="H5" s="23" t="s">
        <v>46</v>
      </c>
      <c r="I5" s="23">
        <f>'[1]Irpef 2005-06'!I3</f>
        <v>2523</v>
      </c>
      <c r="M5" s="19">
        <v>15000</v>
      </c>
      <c r="N5" s="24">
        <v>0.23</v>
      </c>
      <c r="O5" s="19">
        <f>M5*N5</f>
        <v>3450</v>
      </c>
    </row>
    <row r="6" spans="2:15" ht="15">
      <c r="B6" s="25" t="s">
        <v>47</v>
      </c>
      <c r="E6" s="26" t="s">
        <v>48</v>
      </c>
      <c r="F6" s="26">
        <f>ROUND(IF(F4&lt;=M5,F4*N5,IF(F4&lt;=M6,(F4-M5)*N6+O5,IF(F4&lt;=M7,(F4-M6)*N7+O6,IF(F4&lt;=M8,(F4-M7)*N8+O7,(F4-M8)*N9+O8)))),0)</f>
        <v>3509</v>
      </c>
      <c r="H6" s="21"/>
      <c r="I6" s="21"/>
      <c r="M6" s="19">
        <v>28000</v>
      </c>
      <c r="N6" s="24">
        <v>0.27</v>
      </c>
      <c r="O6" s="19">
        <f>(M6-M5)*N6+O5</f>
        <v>6960</v>
      </c>
    </row>
    <row r="7" spans="2:15" ht="15">
      <c r="B7" s="19" t="s">
        <v>49</v>
      </c>
      <c r="H7" s="27" t="s">
        <v>50</v>
      </c>
      <c r="I7" s="27">
        <f>F30-I5</f>
        <v>101</v>
      </c>
      <c r="M7" s="19">
        <v>55000</v>
      </c>
      <c r="N7" s="24">
        <v>0.38</v>
      </c>
      <c r="O7" s="19">
        <f>(M7-M6)*N7+O6</f>
        <v>17220</v>
      </c>
    </row>
    <row r="8" spans="2:15" ht="15">
      <c r="B8" s="25" t="s">
        <v>51</v>
      </c>
      <c r="C8" s="19">
        <f>Foglio1!K35</f>
        <v>20770</v>
      </c>
      <c r="E8" s="19" t="s">
        <v>52</v>
      </c>
      <c r="F8" s="19">
        <f>IF(C20="s",800/12*C21,0)</f>
        <v>0</v>
      </c>
      <c r="M8" s="19">
        <v>75000</v>
      </c>
      <c r="N8" s="24">
        <v>0.41</v>
      </c>
      <c r="O8" s="19">
        <f>(M8-M7)*N8+O7</f>
        <v>25420</v>
      </c>
    </row>
    <row r="9" spans="2:14" ht="15">
      <c r="B9" s="19" t="s">
        <v>53</v>
      </c>
      <c r="E9" s="25" t="s">
        <v>54</v>
      </c>
      <c r="F9" s="28">
        <f>(80000-C16)/80000</f>
        <v>0.740375</v>
      </c>
      <c r="N9" s="24">
        <v>0.43</v>
      </c>
    </row>
    <row r="10" spans="2:9" ht="15">
      <c r="B10" s="25" t="s">
        <v>55</v>
      </c>
      <c r="C10" s="19">
        <v>0</v>
      </c>
      <c r="E10" s="19" t="s">
        <v>56</v>
      </c>
      <c r="F10" s="27">
        <f>ROUND(IF(F9&gt;=1,0,IF(F9&lt;=0,0,F8*F9)),0)</f>
        <v>0</v>
      </c>
      <c r="H10" s="23" t="s">
        <v>57</v>
      </c>
      <c r="I10" s="23">
        <f>'[1]Irpef 2005-06'!I8</f>
        <v>2523</v>
      </c>
    </row>
    <row r="11" spans="2:9" ht="15">
      <c r="B11" s="19" t="s">
        <v>58</v>
      </c>
      <c r="H11" s="21"/>
      <c r="I11" s="21"/>
    </row>
    <row r="12" spans="2:13" ht="15">
      <c r="B12" s="25" t="s">
        <v>59</v>
      </c>
      <c r="E12" s="19" t="s">
        <v>60</v>
      </c>
      <c r="F12" s="19">
        <f>IF(F22&gt;3,C22*1000/12*C23*C24,C22*800/12*C23*C24)</f>
        <v>0</v>
      </c>
      <c r="H12" s="27" t="s">
        <v>50</v>
      </c>
      <c r="I12" s="27">
        <f>F30-I10</f>
        <v>101</v>
      </c>
      <c r="M12" s="19" t="s">
        <v>61</v>
      </c>
    </row>
    <row r="13" spans="2:15" ht="15">
      <c r="B13" s="19" t="s">
        <v>62</v>
      </c>
      <c r="E13" s="19" t="s">
        <v>63</v>
      </c>
      <c r="F13" s="19">
        <f>ROUND(IF(rapfam&gt;=1,0,IF(rapfam&lt;=0,0,rapfam*F12)),0)</f>
        <v>0</v>
      </c>
      <c r="M13" s="19">
        <v>0</v>
      </c>
      <c r="N13" s="19">
        <v>0</v>
      </c>
      <c r="O13" s="19" t="s">
        <v>64</v>
      </c>
    </row>
    <row r="14" spans="2:15" ht="15">
      <c r="B14" s="19" t="s">
        <v>65</v>
      </c>
      <c r="C14" s="19">
        <v>0</v>
      </c>
      <c r="E14" s="19" t="s">
        <v>66</v>
      </c>
      <c r="F14" s="19">
        <f>IF(F22&gt;3,C25*1100/12*C26*C27,C25*900/12*C26*C27)</f>
        <v>0</v>
      </c>
      <c r="M14" s="19">
        <v>0</v>
      </c>
      <c r="N14" s="19">
        <v>1840</v>
      </c>
      <c r="O14" s="19">
        <v>0</v>
      </c>
    </row>
    <row r="15" spans="5:14" ht="15">
      <c r="E15" s="19" t="s">
        <v>63</v>
      </c>
      <c r="F15" s="19">
        <f>ROUND(IF(rapfam&gt;=1,0,IF(rapfam&lt;=0,0,rapfam*F14)),0)</f>
        <v>0</v>
      </c>
      <c r="H15" s="23" t="s">
        <v>67</v>
      </c>
      <c r="I15" s="23">
        <f>'[1]Irpef 2005-06'!I13</f>
        <v>2652</v>
      </c>
      <c r="M15" s="19">
        <v>8000.01</v>
      </c>
      <c r="N15" s="19">
        <f>ROUND(1338+(502*((15000-C16)/7000)),0)</f>
        <v>924</v>
      </c>
    </row>
    <row r="16" spans="2:14" ht="15">
      <c r="B16" s="19" t="s">
        <v>68</v>
      </c>
      <c r="C16" s="19">
        <f>SUM(C3:C15)</f>
        <v>20770</v>
      </c>
      <c r="E16" s="19" t="s">
        <v>69</v>
      </c>
      <c r="F16" s="19">
        <f>IF(F22&gt;3,C28*1070/12*C29*C30,C28*870/12*C29*C30)</f>
        <v>0</v>
      </c>
      <c r="H16" s="21"/>
      <c r="I16" s="21"/>
      <c r="M16" s="19">
        <v>15000.01</v>
      </c>
      <c r="N16" s="19">
        <f>ROUND(1338*(55000-C16)/40000,0)</f>
        <v>1145</v>
      </c>
    </row>
    <row r="17" spans="5:14" ht="15">
      <c r="E17" s="19" t="s">
        <v>63</v>
      </c>
      <c r="F17" s="19">
        <f>ROUND(IF(rapfam&gt;=1,0,IF(rapfam&lt;=0,0,rapfam*F16)),0)</f>
        <v>0</v>
      </c>
      <c r="H17" s="27" t="s">
        <v>50</v>
      </c>
      <c r="I17" s="27">
        <f>F30-I15</f>
        <v>-28</v>
      </c>
      <c r="M17" s="19">
        <v>55000.01</v>
      </c>
      <c r="N17" s="19">
        <v>0</v>
      </c>
    </row>
    <row r="18" spans="2:6" ht="15">
      <c r="B18" s="19" t="s">
        <v>70</v>
      </c>
      <c r="C18" s="33"/>
      <c r="E18" s="19" t="s">
        <v>71</v>
      </c>
      <c r="F18" s="19">
        <f>IF(F22&gt;3,C31*1170/12*C32*C33,C31*970/12*C32*C33)</f>
        <v>0</v>
      </c>
    </row>
    <row r="19" spans="5:13" ht="15">
      <c r="E19" s="19" t="s">
        <v>63</v>
      </c>
      <c r="F19" s="19">
        <f>ROUND(IF(rapfam&gt;=1,0,IF(rapfam&lt;=0,0,rapfam*F18)),0)</f>
        <v>0</v>
      </c>
      <c r="M19" s="19" t="s">
        <v>72</v>
      </c>
    </row>
    <row r="20" spans="2:15" ht="15">
      <c r="B20" s="19" t="s">
        <v>73</v>
      </c>
      <c r="C20" s="38" t="str">
        <f>Foglio1!N16</f>
        <v>N</v>
      </c>
      <c r="E20" s="19" t="s">
        <v>74</v>
      </c>
      <c r="F20" s="31">
        <f>IF(C34&gt;0,750/12*C35*C36,0)</f>
        <v>0</v>
      </c>
      <c r="M20" s="19">
        <v>0</v>
      </c>
      <c r="N20" s="19">
        <v>0</v>
      </c>
      <c r="O20" s="19" t="s">
        <v>64</v>
      </c>
    </row>
    <row r="21" spans="2:15" ht="15">
      <c r="B21" s="19" t="s">
        <v>75</v>
      </c>
      <c r="C21" s="39">
        <f>Foglio1!N17</f>
        <v>0</v>
      </c>
      <c r="E21" s="19" t="s">
        <v>63</v>
      </c>
      <c r="F21" s="19">
        <f>ROUND(IF(rapcon&gt;=1,0,IF(rapcon&lt;=0,0,rapcon*F20)),0)</f>
        <v>0</v>
      </c>
      <c r="M21" s="19">
        <v>0</v>
      </c>
      <c r="N21" s="19">
        <v>1725</v>
      </c>
      <c r="O21" s="19">
        <f>IF(dipe&gt;0,O14,IF(pensio&gt;0,O14,0))</f>
        <v>0</v>
      </c>
    </row>
    <row r="22" spans="2:14" ht="15">
      <c r="B22" s="19" t="s">
        <v>76</v>
      </c>
      <c r="C22" s="38">
        <f>Foglio1!N18</f>
        <v>0</v>
      </c>
      <c r="E22" s="25" t="s">
        <v>77</v>
      </c>
      <c r="F22" s="33">
        <f>C22+C25+C28+C31</f>
        <v>0</v>
      </c>
      <c r="M22" s="19">
        <v>7500.01</v>
      </c>
      <c r="N22" s="19">
        <f>ROUND(1225+(470*((15000-C16)/7500)),0)</f>
        <v>863</v>
      </c>
    </row>
    <row r="23" spans="2:14" ht="15">
      <c r="B23" s="19" t="s">
        <v>75</v>
      </c>
      <c r="C23" s="39">
        <f>Foglio1!N19</f>
        <v>0</v>
      </c>
      <c r="E23" s="25" t="s">
        <v>78</v>
      </c>
      <c r="F23" s="19">
        <f>IF(F22=1,95000,(F22-1)*15000+95000)</f>
        <v>80000</v>
      </c>
      <c r="M23" s="19">
        <v>15000.01</v>
      </c>
      <c r="N23" s="19">
        <f>ROUND(1225*(55000-C16)/40000,0)</f>
        <v>1048</v>
      </c>
    </row>
    <row r="24" spans="2:14" ht="15">
      <c r="B24" s="19" t="s">
        <v>79</v>
      </c>
      <c r="C24" s="40">
        <f>Foglio1!N20</f>
        <v>0</v>
      </c>
      <c r="E24" s="19" t="s">
        <v>54</v>
      </c>
      <c r="F24" s="28">
        <f>(nummag-C16)/nummag</f>
        <v>0.740375</v>
      </c>
      <c r="M24" s="19">
        <v>55000.01</v>
      </c>
      <c r="N24" s="19">
        <v>0</v>
      </c>
    </row>
    <row r="25" spans="2:6" ht="15">
      <c r="B25" s="19" t="s">
        <v>80</v>
      </c>
      <c r="C25" s="32">
        <v>0</v>
      </c>
      <c r="E25" s="19" t="s">
        <v>81</v>
      </c>
      <c r="F25" s="27">
        <f>F10+F13+F15+F17+F19+F21</f>
        <v>0</v>
      </c>
    </row>
    <row r="26" spans="2:3" ht="15">
      <c r="B26" s="19" t="s">
        <v>75</v>
      </c>
      <c r="C26" s="32">
        <v>0</v>
      </c>
    </row>
    <row r="27" spans="2:15" ht="15">
      <c r="B27" s="19" t="s">
        <v>79</v>
      </c>
      <c r="C27" s="34">
        <v>0</v>
      </c>
      <c r="E27" s="19" t="s">
        <v>82</v>
      </c>
      <c r="F27" s="19">
        <f>IF(O21&gt;O27,O21,O27)</f>
        <v>0</v>
      </c>
      <c r="M27" s="19" t="s">
        <v>82</v>
      </c>
      <c r="O27" s="19">
        <f>ROUND(IF(dipe&gt;0,VLOOKUP(dipe,detraz,2)*C18/365,IF(pensio&gt;0,VLOOKUP(pensio,detrpensio,2)*C18/365,0)),0)</f>
        <v>0</v>
      </c>
    </row>
    <row r="28" spans="2:6" ht="15">
      <c r="B28" s="19" t="s">
        <v>83</v>
      </c>
      <c r="C28" s="32">
        <v>0</v>
      </c>
      <c r="E28" s="19" t="s">
        <v>84</v>
      </c>
      <c r="F28" s="19">
        <f>IF(F27&gt;0,0,IF(autimpe&gt;0,VLOOKUP(autimpe,detrauto,2),0))</f>
        <v>885</v>
      </c>
    </row>
    <row r="29" spans="2:3" ht="15">
      <c r="B29" s="19" t="s">
        <v>75</v>
      </c>
      <c r="C29" s="32">
        <v>0</v>
      </c>
    </row>
    <row r="30" spans="2:13" ht="15">
      <c r="B30" s="19" t="s">
        <v>79</v>
      </c>
      <c r="C30" s="34">
        <v>0</v>
      </c>
      <c r="E30" s="35" t="s">
        <v>85</v>
      </c>
      <c r="F30" s="35">
        <f>IF(F6-F25-F27&gt;0,F6-F25-F27-F28,0)</f>
        <v>2624</v>
      </c>
      <c r="M30" s="19" t="s">
        <v>86</v>
      </c>
    </row>
    <row r="31" spans="2:14" ht="15">
      <c r="B31" s="19" t="s">
        <v>87</v>
      </c>
      <c r="C31" s="32">
        <v>0</v>
      </c>
      <c r="M31" s="19">
        <v>0</v>
      </c>
      <c r="N31" s="19">
        <v>0</v>
      </c>
    </row>
    <row r="32" spans="2:14" ht="15">
      <c r="B32" s="19" t="s">
        <v>75</v>
      </c>
      <c r="C32" s="32">
        <v>0</v>
      </c>
      <c r="M32" s="19">
        <v>0</v>
      </c>
      <c r="N32" s="19">
        <v>1104</v>
      </c>
    </row>
    <row r="33" spans="2:14" ht="15.75">
      <c r="B33" s="19" t="s">
        <v>79</v>
      </c>
      <c r="C33" s="34">
        <v>0</v>
      </c>
      <c r="E33" s="15" t="s">
        <v>33</v>
      </c>
      <c r="M33" s="19">
        <v>4800.01</v>
      </c>
      <c r="N33" s="19">
        <f>ROUND(1104*(55000-C16)/50200,0)</f>
        <v>753</v>
      </c>
    </row>
    <row r="34" spans="2:14" ht="15">
      <c r="B34" s="19" t="s">
        <v>88</v>
      </c>
      <c r="C34" s="36">
        <v>0</v>
      </c>
      <c r="E34" s="16" t="s">
        <v>34</v>
      </c>
      <c r="M34" s="19">
        <v>55000.01</v>
      </c>
      <c r="N34" s="19">
        <v>0</v>
      </c>
    </row>
    <row r="35" spans="2:3" ht="15">
      <c r="B35" s="19" t="s">
        <v>75</v>
      </c>
      <c r="C35" s="36">
        <v>0</v>
      </c>
    </row>
    <row r="36" spans="2:13" ht="15">
      <c r="B36" s="19" t="s">
        <v>79</v>
      </c>
      <c r="C36" s="34">
        <v>0</v>
      </c>
      <c r="M36" s="19">
        <f>C7+C8+C11+C12+C13</f>
        <v>20770</v>
      </c>
    </row>
  </sheetData>
  <sheetProtection password="CC98" sheet="1" objects="1" scenarios="1"/>
  <hyperlinks>
    <hyperlink ref="E34" r:id="rId1" display="www.simonini.biz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Simonini</dc:creator>
  <cp:keywords/>
  <dc:description/>
  <cp:lastModifiedBy>Luca Simonini</cp:lastModifiedBy>
  <dcterms:created xsi:type="dcterms:W3CDTF">2011-04-01T16:14:41Z</dcterms:created>
  <dcterms:modified xsi:type="dcterms:W3CDTF">2011-05-20T18:27:12Z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